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170" windowHeight="5955" tabRatio="648"/>
  </bookViews>
  <sheets>
    <sheet name="1.melléklet" sheetId="1" r:id="rId1"/>
    <sheet name="2. melléklet" sheetId="9" r:id="rId2"/>
    <sheet name="3. melléklet" sheetId="8" r:id="rId3"/>
    <sheet name="4. melléklet" sheetId="4" r:id="rId4"/>
    <sheet name="5. melléklet" sheetId="5" r:id="rId5"/>
    <sheet name="6. melléklet" sheetId="6" r:id="rId6"/>
    <sheet name="8. melléklet" sheetId="12" r:id="rId7"/>
    <sheet name="7. melléklet" sheetId="7" r:id="rId8"/>
    <sheet name="Bevételek - mérleg" sheetId="2" r:id="rId9"/>
    <sheet name="Kiadások - mérleg" sheetId="3" r:id="rId10"/>
    <sheet name="Tiszteletdíj" sheetId="11" r:id="rId11"/>
  </sheets>
  <definedNames>
    <definedName name="_xlnm.Print_Area" localSheetId="8">'Bevételek - mérleg'!$A$1:$C$50</definedName>
    <definedName name="_xlnm.Print_Area" localSheetId="9">'Kiadások - mérleg'!$A$1:$C$25</definedName>
  </definedNames>
  <calcPr calcId="125725"/>
</workbook>
</file>

<file path=xl/calcChain.xml><?xml version="1.0" encoding="utf-8"?>
<calcChain xmlns="http://schemas.openxmlformats.org/spreadsheetml/2006/main">
  <c r="C19" i="2"/>
  <c r="C17" i="6"/>
  <c r="C16"/>
  <c r="C15"/>
  <c r="C14"/>
  <c r="C13"/>
  <c r="C12"/>
  <c r="C9"/>
  <c r="C7"/>
  <c r="C6"/>
  <c r="C5"/>
  <c r="B20"/>
  <c r="C6" i="2"/>
  <c r="B10" i="5" s="1"/>
  <c r="C5" i="2"/>
  <c r="B28" i="5"/>
  <c r="B19"/>
  <c r="C12" i="4"/>
  <c r="B12" i="5"/>
  <c r="AB69" i="8"/>
  <c r="D14" l="1"/>
  <c r="E12" i="12"/>
  <c r="E11"/>
  <c r="V14" i="8"/>
  <c r="V5"/>
  <c r="E10" i="9" l="1"/>
  <c r="C24" i="2"/>
  <c r="E13" i="9"/>
  <c r="E15"/>
  <c r="O48" i="8"/>
  <c r="O30"/>
  <c r="O31"/>
  <c r="O46"/>
  <c r="O64"/>
  <c r="O26"/>
  <c r="O27"/>
  <c r="P48"/>
  <c r="E16" i="9"/>
  <c r="E17"/>
  <c r="E18"/>
  <c r="E19"/>
  <c r="E14"/>
  <c r="C23" i="2"/>
  <c r="C21" s="1"/>
  <c r="L14" i="8"/>
  <c r="J14"/>
  <c r="F14"/>
  <c r="AB16"/>
  <c r="S17"/>
  <c r="T17"/>
  <c r="U17"/>
  <c r="V17"/>
  <c r="S13"/>
  <c r="T13"/>
  <c r="U13"/>
  <c r="V13"/>
  <c r="F13"/>
  <c r="D13"/>
  <c r="D5" i="6" l="1"/>
  <c r="E5" s="1"/>
  <c r="D6"/>
  <c r="E6" s="1"/>
  <c r="D7"/>
  <c r="E7" s="1"/>
  <c r="D9"/>
  <c r="E9" s="1"/>
  <c r="D12"/>
  <c r="E12" s="1"/>
  <c r="D13"/>
  <c r="E13" s="1"/>
  <c r="D14"/>
  <c r="E14" s="1"/>
  <c r="D15"/>
  <c r="E15" s="1"/>
  <c r="D16"/>
  <c r="E16" s="1"/>
  <c r="D17"/>
  <c r="E17" s="1"/>
  <c r="D18"/>
  <c r="E18" s="1"/>
  <c r="C21"/>
  <c r="C22"/>
  <c r="C24"/>
  <c r="C26"/>
  <c r="C29"/>
  <c r="C30"/>
  <c r="C31"/>
  <c r="C33"/>
  <c r="B18"/>
  <c r="C18" s="1"/>
  <c r="B32"/>
  <c r="D30" i="5"/>
  <c r="B34" i="6" s="1"/>
  <c r="D24" i="5"/>
  <c r="B24"/>
  <c r="B26"/>
  <c r="B13"/>
  <c r="B11"/>
  <c r="B9" l="1"/>
  <c r="B36" i="6"/>
  <c r="B27" i="5"/>
  <c r="B8" i="6" s="1"/>
  <c r="E31" i="12"/>
  <c r="E18"/>
  <c r="I12"/>
  <c r="B12"/>
  <c r="B14" s="1"/>
  <c r="B16" s="1"/>
  <c r="B18" s="1"/>
  <c r="B20" s="1"/>
  <c r="B22" s="1"/>
  <c r="B24" s="1"/>
  <c r="B26" s="1"/>
  <c r="B28" s="1"/>
  <c r="B30" s="1"/>
  <c r="B32" s="1"/>
  <c r="B11"/>
  <c r="B13" s="1"/>
  <c r="B15" s="1"/>
  <c r="B17" s="1"/>
  <c r="B19" s="1"/>
  <c r="B21" s="1"/>
  <c r="B23" s="1"/>
  <c r="B25" s="1"/>
  <c r="B27" s="1"/>
  <c r="B29" s="1"/>
  <c r="B31" s="1"/>
  <c r="C17" i="3"/>
  <c r="AB57" i="8"/>
  <c r="AB59"/>
  <c r="B8" i="5"/>
  <c r="AB11" i="8"/>
  <c r="C8" i="6" l="1"/>
  <c r="D8" s="1"/>
  <c r="E8" s="1"/>
  <c r="B23"/>
  <c r="B25" s="1"/>
  <c r="B19" s="1"/>
  <c r="E32" i="12"/>
  <c r="J17" s="1"/>
  <c r="AB62" i="8" l="1"/>
  <c r="AB63"/>
  <c r="C16" i="3" s="1"/>
  <c r="AB66" i="8"/>
  <c r="AB67"/>
  <c r="AB56"/>
  <c r="AB58"/>
  <c r="AB60"/>
  <c r="AB30"/>
  <c r="AB25"/>
  <c r="AB19"/>
  <c r="AB20"/>
  <c r="AB21"/>
  <c r="AB22"/>
  <c r="AB23"/>
  <c r="AB24"/>
  <c r="AB26"/>
  <c r="AB27"/>
  <c r="AB28"/>
  <c r="AB29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18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D61"/>
  <c r="E53"/>
  <c r="F53"/>
  <c r="G53"/>
  <c r="H53"/>
  <c r="I53"/>
  <c r="J53"/>
  <c r="K53"/>
  <c r="L53"/>
  <c r="M53"/>
  <c r="N53"/>
  <c r="O53"/>
  <c r="P53"/>
  <c r="Q53"/>
  <c r="S53"/>
  <c r="T53"/>
  <c r="U53"/>
  <c r="V53"/>
  <c r="V68" s="1"/>
  <c r="W53"/>
  <c r="X53"/>
  <c r="Y53"/>
  <c r="Z53"/>
  <c r="AA53"/>
  <c r="D53"/>
  <c r="AB54"/>
  <c r="AB55"/>
  <c r="AB9"/>
  <c r="F13" i="9"/>
  <c r="F11"/>
  <c r="F12"/>
  <c r="F14"/>
  <c r="F15"/>
  <c r="F16"/>
  <c r="F17"/>
  <c r="F18"/>
  <c r="F19"/>
  <c r="F20"/>
  <c r="F10"/>
  <c r="E21"/>
  <c r="Y68" i="8" l="1"/>
  <c r="S68"/>
  <c r="T68"/>
  <c r="AA68"/>
  <c r="W68"/>
  <c r="X68"/>
  <c r="C9" i="3"/>
  <c r="D6" i="5" s="1"/>
  <c r="U68" i="8"/>
  <c r="D20" i="5"/>
  <c r="C15" i="3"/>
  <c r="C10"/>
  <c r="D7" i="5" s="1"/>
  <c r="AB61" i="8"/>
  <c r="L13"/>
  <c r="AB12"/>
  <c r="AB7"/>
  <c r="B9" i="11"/>
  <c r="E8"/>
  <c r="D8"/>
  <c r="F8" s="1"/>
  <c r="E7"/>
  <c r="D7"/>
  <c r="F7" s="1"/>
  <c r="E6"/>
  <c r="D6"/>
  <c r="F6" s="1"/>
  <c r="E5"/>
  <c r="D5"/>
  <c r="F5" s="1"/>
  <c r="E4"/>
  <c r="D4"/>
  <c r="F4" s="1"/>
  <c r="D3"/>
  <c r="D9" s="1"/>
  <c r="C9"/>
  <c r="D21" i="9"/>
  <c r="Z17" i="8"/>
  <c r="R17"/>
  <c r="Q17"/>
  <c r="P17"/>
  <c r="N17"/>
  <c r="H17"/>
  <c r="G17"/>
  <c r="E17"/>
  <c r="Z13"/>
  <c r="Z68" s="1"/>
  <c r="R13"/>
  <c r="Q13"/>
  <c r="Q68" s="1"/>
  <c r="P13"/>
  <c r="P68" s="1"/>
  <c r="N13"/>
  <c r="N68" s="1"/>
  <c r="H13"/>
  <c r="G13"/>
  <c r="G68" s="1"/>
  <c r="E13"/>
  <c r="E68" s="1"/>
  <c r="C11" i="4"/>
  <c r="C18" i="2"/>
  <c r="B6" i="5" s="1"/>
  <c r="H68" i="8" l="1"/>
  <c r="O17"/>
  <c r="AB6"/>
  <c r="AB10"/>
  <c r="AB15"/>
  <c r="E24" i="9"/>
  <c r="F21"/>
  <c r="M13" i="8"/>
  <c r="K13"/>
  <c r="L17"/>
  <c r="L68" s="1"/>
  <c r="K17"/>
  <c r="M17"/>
  <c r="D24" i="9"/>
  <c r="G4" i="11"/>
  <c r="G5"/>
  <c r="G6"/>
  <c r="G7"/>
  <c r="G8"/>
  <c r="F3"/>
  <c r="F9" s="1"/>
  <c r="E3"/>
  <c r="J17" i="8"/>
  <c r="I13" l="1"/>
  <c r="F17"/>
  <c r="M68"/>
  <c r="K68"/>
  <c r="F24" i="9"/>
  <c r="C27" i="2" s="1"/>
  <c r="C20" s="1"/>
  <c r="E9" i="11"/>
  <c r="G3"/>
  <c r="G9" s="1"/>
  <c r="D17" i="8"/>
  <c r="D32" i="6"/>
  <c r="E32"/>
  <c r="D25"/>
  <c r="E25"/>
  <c r="E19" s="1"/>
  <c r="C36"/>
  <c r="D36"/>
  <c r="D19" l="1"/>
  <c r="B15" i="5"/>
  <c r="O13" i="8"/>
  <c r="O68" s="1"/>
  <c r="AB8"/>
  <c r="AB14"/>
  <c r="J13"/>
  <c r="J68" s="1"/>
  <c r="I17"/>
  <c r="AB17" s="1"/>
  <c r="E36" i="6"/>
  <c r="C17" i="4"/>
  <c r="C14"/>
  <c r="C19" s="1"/>
  <c r="D29" i="5"/>
  <c r="B29"/>
  <c r="B23"/>
  <c r="AB13" i="8" l="1"/>
  <c r="C7" i="3"/>
  <c r="D4" i="5" s="1"/>
  <c r="AB5" i="8"/>
  <c r="F68"/>
  <c r="C6" i="3"/>
  <c r="I68" i="8"/>
  <c r="C33" i="2"/>
  <c r="D3" i="5" l="1"/>
  <c r="E4" i="7"/>
  <c r="D4"/>
  <c r="C4"/>
  <c r="D10" i="1"/>
  <c r="D21"/>
  <c r="D19" s="1"/>
  <c r="C16" i="2" l="1"/>
  <c r="B4" i="5" s="1"/>
  <c r="D8" i="1"/>
  <c r="C17" i="2"/>
  <c r="B5" i="5" s="1"/>
  <c r="D29" i="1"/>
  <c r="H4" i="7"/>
  <c r="B3" i="5" l="1"/>
  <c r="C15" i="2"/>
  <c r="C4" s="1"/>
  <c r="R53" i="8"/>
  <c r="AB64"/>
  <c r="C14" i="3" s="1"/>
  <c r="D19" i="5" s="1"/>
  <c r="D23" s="1"/>
  <c r="R68" i="8" l="1"/>
  <c r="AB53"/>
  <c r="C8" i="3" s="1"/>
  <c r="B4" i="6"/>
  <c r="C4" s="1"/>
  <c r="D4" s="1"/>
  <c r="E4" s="1"/>
  <c r="D65" i="8"/>
  <c r="D68" s="1"/>
  <c r="AB68" s="1"/>
  <c r="D5" i="5" l="1"/>
  <c r="D18" s="1"/>
  <c r="D31" s="1"/>
  <c r="C5" i="3"/>
  <c r="AB65" i="8"/>
  <c r="C13" i="3" s="1"/>
  <c r="C12" s="1"/>
  <c r="C22" l="1"/>
  <c r="C25" s="1"/>
  <c r="C5" i="4" s="1"/>
  <c r="C6" s="1"/>
  <c r="B16" i="5"/>
  <c r="B18" s="1"/>
  <c r="B31" s="1"/>
  <c r="B10" i="6"/>
  <c r="C31" i="2"/>
  <c r="C4" i="4" s="1"/>
  <c r="C10" i="6" l="1"/>
  <c r="B35"/>
  <c r="C8" i="4"/>
  <c r="C36" i="2"/>
  <c r="C38" s="1"/>
  <c r="B3" i="6"/>
  <c r="D10" l="1"/>
  <c r="C3"/>
  <c r="C35"/>
  <c r="E10" l="1"/>
  <c r="D3"/>
  <c r="D35"/>
  <c r="E3" l="1"/>
  <c r="E35"/>
</calcChain>
</file>

<file path=xl/sharedStrings.xml><?xml version="1.0" encoding="utf-8"?>
<sst xmlns="http://schemas.openxmlformats.org/spreadsheetml/2006/main" count="453" uniqueCount="372">
  <si>
    <t>.... melléklet az …/201..(…...) önkormányzati rendelethez</t>
  </si>
  <si>
    <t>A HELYI ÖNKORMÁNYZATOK MŰKÖDÉSÉNEK ÁLTALÁNOS TÁMOGATÁSA</t>
  </si>
  <si>
    <t>Jogcím</t>
  </si>
  <si>
    <t>mennyiségi egység</t>
  </si>
  <si>
    <t>Ft</t>
  </si>
  <si>
    <t xml:space="preserve"> I. A HELYI ÖNKORMÁNYZATOK MŰKÖDÉSÉNEK ÁLTALÁNOS TÁMOGATÁSA</t>
  </si>
  <si>
    <t>I.1. A települési önkormányzatok működésének támogatása</t>
  </si>
  <si>
    <t>I.1.b) Település-üzemeltetéshez kapcsolódó feladatellátás támogatása összesen</t>
  </si>
  <si>
    <t>forint</t>
  </si>
  <si>
    <t>I.1.ba) A zöldterület-gazdálkodással kapcsolatos feladatok ellátásának támogatása</t>
  </si>
  <si>
    <t>I.1.bb) Közvilágítás fenntartásának támogatása</t>
  </si>
  <si>
    <t>km</t>
  </si>
  <si>
    <t>I.1.bc) Köztemető fenntartással kapcsolatos feladatok támogatása</t>
  </si>
  <si>
    <t>I.1.bd) Közutak fenntartásának támogatása</t>
  </si>
  <si>
    <t xml:space="preserve">I.1.c) - V. Egyéb önkormányzati feladatok támogatása - beszámítás után	
</t>
  </si>
  <si>
    <t>I.1.d) Lakott külterülettel kapcsolatos feladatok támogatása</t>
  </si>
  <si>
    <t>külterületi lakos</t>
  </si>
  <si>
    <t>I.1.e) Üdülőhelyi feladatok támogatása</t>
  </si>
  <si>
    <t>idegenforgalmiadó-forint</t>
  </si>
  <si>
    <t xml:space="preserve"> III. A TELEPÜLÉSI ÖNKORMÁNYZATOK SZOCIÁLIS, GYERMEKJÓLÉTI  ÉS GYERMEKÉTKEZTETÉSI FELADATAINAK TÁMOGATÁSA</t>
  </si>
  <si>
    <t>III.2. A települési önkormányzatok szociális feladatainak egyéb támogatása</t>
  </si>
  <si>
    <t>III.5.a. A finanszírozás szempontjából elismert dolgozók bértámogatása</t>
  </si>
  <si>
    <t>fő</t>
  </si>
  <si>
    <t>III.5.b Gyermekétkeztetés üzemeltetési támogatása</t>
  </si>
  <si>
    <t>III.5.c A rászoruló gyermekek intézményen kívüli szünidei étkeztetésének támogatása</t>
  </si>
  <si>
    <t>IV.1. TELEPÜLÉSI ÖNKORMÁNYZATOK NYILVÁNOS KÖNYVTÁRI ÉS KÖZMŰVELŐDÉSI FELADATAINAK TÁMOGATÁSA</t>
  </si>
  <si>
    <t>Bevételek</t>
  </si>
  <si>
    <t>I. Önkormányzati feladatokhoz nem rendelhető bevételek és egyéb önkormányzati elszámolások</t>
  </si>
  <si>
    <t>Megnevezés</t>
  </si>
  <si>
    <t>Helyi adók</t>
  </si>
  <si>
    <t>Magánszemélyek kommunális adója</t>
  </si>
  <si>
    <t>Iparűzési adó</t>
  </si>
  <si>
    <t>Idegenforgalmi adó</t>
  </si>
  <si>
    <t>Adópótlék, bírság</t>
  </si>
  <si>
    <t>Adóhátralék</t>
  </si>
  <si>
    <t>Gépjárműadó</t>
  </si>
  <si>
    <t>Termőföld bérbeadásából származó jövedelem</t>
  </si>
  <si>
    <t>A helyi önkormányzatok működésének általános támogatása</t>
  </si>
  <si>
    <t>A települési önkormányzatok szociális, gyermekjóléti és gyermekétkeztetési feladatainak támogatása</t>
  </si>
  <si>
    <t>A települési önkormányzatok kulturális feladatainak támogatása (könyvtár, közművelődés)</t>
  </si>
  <si>
    <t>Működési célú támogatások államháztartáson belül</t>
  </si>
  <si>
    <t>Felhalmozási célú támogatások államháztartáson belül</t>
  </si>
  <si>
    <t>Közhatalmi bevételek</t>
  </si>
  <si>
    <t>Működési bevételek</t>
  </si>
  <si>
    <t>Felhalmozási bevételek</t>
  </si>
  <si>
    <t>Felhalmozási célú átvett pénzeszköz</t>
  </si>
  <si>
    <t>III. Finanszírozási bevételek</t>
  </si>
  <si>
    <t>Költségvetési maradvány igénybevétele</t>
  </si>
  <si>
    <t>Bevételek összesen</t>
  </si>
  <si>
    <t>Fedezetszükséglet</t>
  </si>
  <si>
    <t>Bevételek mindösszesen</t>
  </si>
  <si>
    <t>I. Önkormányzai működési kiadások</t>
  </si>
  <si>
    <t>1. Önkormányzat kiadásai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</si>
  <si>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</si>
  <si>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</si>
  <si>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</si>
  <si>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</si>
  <si>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</si>
  <si>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Egyéb felhalmozási célú kiadások</t>
  </si>
  <si>
    <t>II. Felhalmozási kiadások</t>
  </si>
  <si>
    <t>1. Beruházási kiadások</t>
  </si>
  <si>
    <t>2. Felújítási feladatok kiadásai</t>
  </si>
  <si>
    <t>Önkormányzat felújítási kiadásai</t>
  </si>
  <si>
    <t>III. Tartalékok</t>
  </si>
  <si>
    <t>Általános tartalék</t>
  </si>
  <si>
    <t>Céltartalék</t>
  </si>
  <si>
    <t>ebből beruházási jellegű céltartalék</t>
  </si>
  <si>
    <t>működési jellegű céltartalék</t>
  </si>
  <si>
    <t>Költségvetési kiadások összesen (I.+II.+III.)</t>
  </si>
  <si>
    <t>IV. Finanszírozási kiadások</t>
  </si>
  <si>
    <t>Hitel, kölcsön törlesztése</t>
  </si>
  <si>
    <t>Kiadások mindösszesen</t>
  </si>
  <si>
    <t>Finanszírozási bevételek nélkül</t>
  </si>
  <si>
    <t>Kiadások összesen</t>
  </si>
  <si>
    <t>Finanszírozási kiadás nélkül</t>
  </si>
  <si>
    <t>Finanszírozási kiadások</t>
  </si>
  <si>
    <t>Belső források igénybevétele</t>
  </si>
  <si>
    <t>1. Belső finanszírozású bevétel (költségvetési maradvány)</t>
  </si>
  <si>
    <t>1. Működési célú</t>
  </si>
  <si>
    <t>2. Felhalmozási célú</t>
  </si>
  <si>
    <t>2. felhalmozási célú</t>
  </si>
  <si>
    <t>Külső források igénybevétele</t>
  </si>
  <si>
    <t>Külső finanszírozású bevétel</t>
  </si>
  <si>
    <t>Külső-belső források összesen</t>
  </si>
  <si>
    <t>Kiadások</t>
  </si>
  <si>
    <t>Az önkormányzatok kulturális feladatainak támogatása (könyvtár,közművelődés)</t>
  </si>
  <si>
    <t>Egyéb közhatalmi bevételek</t>
  </si>
  <si>
    <t>Működési célú átvett pénzeszközök</t>
  </si>
  <si>
    <t>Működési költségvetés összesen</t>
  </si>
  <si>
    <t>ebből kölcsön visszatérülése</t>
  </si>
  <si>
    <t>Finanszírozási bevételek</t>
  </si>
  <si>
    <t>Hitel, kölcsön felvétele</t>
  </si>
  <si>
    <t>ebből működési célú</t>
  </si>
  <si>
    <t>ebből felhalmozási célú</t>
  </si>
  <si>
    <t>Tartalékok</t>
  </si>
  <si>
    <t>Munkaadókat terhelő járulékok, szociális hozzájárulási adó</t>
  </si>
  <si>
    <t>Beruházások</t>
  </si>
  <si>
    <t>Felújítások</t>
  </si>
  <si>
    <t>Felhalmozási költségvetés összesen</t>
  </si>
  <si>
    <t>A költségvetési évet követő három év tervezett előirányzatának keretszámai</t>
  </si>
  <si>
    <t>2019. évre</t>
  </si>
  <si>
    <t>2020. évre</t>
  </si>
  <si>
    <t>Működési célú bevételek összesen</t>
  </si>
  <si>
    <t>Működési célú kiadások</t>
  </si>
  <si>
    <t>II. Felhalmozási célú bevételek és kiadások</t>
  </si>
  <si>
    <t>Felhalmozási célú támogatások államháztartáson belülről</t>
  </si>
  <si>
    <t>Felhalmozási célú átvett pénzeszközök</t>
  </si>
  <si>
    <t>Hitel, kölcsön felvétel</t>
  </si>
  <si>
    <t>Felhalmozási bevételek összesen</t>
  </si>
  <si>
    <t>Fejlesztési hitelek törlesztése</t>
  </si>
  <si>
    <t>Felhalmozási célú kiadások összesen</t>
  </si>
  <si>
    <t>Önkormányzat bevételei összesen</t>
  </si>
  <si>
    <t>Önkormányzat kiadásai összesen</t>
  </si>
  <si>
    <t>I. Működési bevételek és kiadások</t>
  </si>
  <si>
    <t>Intézmény</t>
  </si>
  <si>
    <t>Közalkalmazott</t>
  </si>
  <si>
    <t>Mt. Hatálya alá tartozók</t>
  </si>
  <si>
    <t>Közfoglalkoztatotti létszám</t>
  </si>
  <si>
    <t>Tartósan távollevő munkavállalók létszáma (GYES)</t>
  </si>
  <si>
    <t>Létszám összesen</t>
  </si>
  <si>
    <t>Önkormányzat</t>
  </si>
  <si>
    <t>Igazgatás</t>
  </si>
  <si>
    <t>község-gazdálkodás</t>
  </si>
  <si>
    <t>védőnő</t>
  </si>
  <si>
    <t xml:space="preserve">orvosi rend. </t>
  </si>
  <si>
    <t>teljes munkaidős</t>
  </si>
  <si>
    <t>részmunkaidős</t>
  </si>
  <si>
    <t>könyvtár</t>
  </si>
  <si>
    <t>művelődési ház</t>
  </si>
  <si>
    <t>ebből:</t>
  </si>
  <si>
    <t>III.5. Gyermekétkeztetés támogatása (a+b+c)</t>
  </si>
  <si>
    <t>Normatív támogatások összesen I+III+IV</t>
  </si>
  <si>
    <t>Működési célú költségvetési és kiegészítő támogatás teljesülése</t>
  </si>
  <si>
    <t>1. Közhatalmi bevétel (B3)</t>
  </si>
  <si>
    <t>2. Az önkormányzat központi alrendszeréből származó forrásai (B11)</t>
  </si>
  <si>
    <t>Működési célú átvett pénzeszköz (B6)</t>
  </si>
  <si>
    <t>Áht belüli megelőlegezések teljesítése</t>
  </si>
  <si>
    <t xml:space="preserve">II. Önkormányzat egyéb bevételei </t>
  </si>
  <si>
    <t>Működési célú támogatások államháztartáson belül (B16)</t>
  </si>
  <si>
    <t>Felhalmozási célú támogatások államháztartáson belül (B2)</t>
  </si>
  <si>
    <t>Működési bevételek (B4)</t>
  </si>
  <si>
    <t>Finanszírozási költségvetés összesen</t>
  </si>
  <si>
    <t>I.6.Polgármesteri illetmény támogatása</t>
  </si>
  <si>
    <t>Önkormányzat beruházási kiadásai</t>
  </si>
  <si>
    <t>2021. évre</t>
  </si>
  <si>
    <t>Felhalmozási bevételek B5)</t>
  </si>
  <si>
    <t>adatok ezer Ft-ban</t>
  </si>
  <si>
    <t>011130 önkorm. igazg.tev.</t>
  </si>
  <si>
    <t>o66020 község-gazd.</t>
  </si>
  <si>
    <t xml:space="preserve">066010 zöldterület-gazd </t>
  </si>
  <si>
    <t>045160 közutak fennt.</t>
  </si>
  <si>
    <t>o72111 háziorvos</t>
  </si>
  <si>
    <t>o82044 könyvtár</t>
  </si>
  <si>
    <t>o82091 műv.ház</t>
  </si>
  <si>
    <t>013320 köztemető</t>
  </si>
  <si>
    <t>o64010 közvilágítás</t>
  </si>
  <si>
    <t>107060 rendkívüli telep tám</t>
  </si>
  <si>
    <t>szoc tüzelőanyag önrész</t>
  </si>
  <si>
    <t>Mindösszesen</t>
  </si>
  <si>
    <t>alapilletmény</t>
  </si>
  <si>
    <t>polgármester jutt.</t>
  </si>
  <si>
    <t>képviselői tiszteletdíjak</t>
  </si>
  <si>
    <t>képv.ktgtér.</t>
  </si>
  <si>
    <t>cafetéria</t>
  </si>
  <si>
    <t>közl.ktgtér.</t>
  </si>
  <si>
    <t>Személyi jutt összesen</t>
  </si>
  <si>
    <t>egészségügyi hj</t>
  </si>
  <si>
    <t>munk.terh.szja</t>
  </si>
  <si>
    <t>munkaadókat terh.jár.</t>
  </si>
  <si>
    <t>gyógyszer besz.</t>
  </si>
  <si>
    <t>vegyszer besz.</t>
  </si>
  <si>
    <t>könyv besz.</t>
  </si>
  <si>
    <t>folyóirat besz.</t>
  </si>
  <si>
    <t>egyéb inf.hord.besz.</t>
  </si>
  <si>
    <t>élelmiszer besz.</t>
  </si>
  <si>
    <t>irodaszer, nyomtatvány</t>
  </si>
  <si>
    <t>tüzelőanyag besz.</t>
  </si>
  <si>
    <t>hajtó- és kenőanyag</t>
  </si>
  <si>
    <t>munka-védőruha besz.</t>
  </si>
  <si>
    <t>tisztítószer besz.</t>
  </si>
  <si>
    <t>kisértékű TESZK besz.</t>
  </si>
  <si>
    <t>egyéb készlet besz.</t>
  </si>
  <si>
    <t>egyéb anyag</t>
  </si>
  <si>
    <t>egyéb inf.szolg.</t>
  </si>
  <si>
    <t>telefondíj</t>
  </si>
  <si>
    <t>áramdíj</t>
  </si>
  <si>
    <t>gázdíj</t>
  </si>
  <si>
    <t>vízdíj</t>
  </si>
  <si>
    <t>vásárolt élelmezés</t>
  </si>
  <si>
    <t>bérleti és lízingdíj</t>
  </si>
  <si>
    <t>karbantartás, kisjav.</t>
  </si>
  <si>
    <t>vás. közszolgáltatások</t>
  </si>
  <si>
    <t>egyéb szakmai tev seg szolg</t>
  </si>
  <si>
    <t>számlázott szellemi tev.</t>
  </si>
  <si>
    <t>biztosítási díjak</t>
  </si>
  <si>
    <t>pénzügyi szolg.díjai</t>
  </si>
  <si>
    <t>szállítási szolg</t>
  </si>
  <si>
    <t>egyéb üzemeltetési, fennt. szolg.</t>
  </si>
  <si>
    <t>reklám és propaganda kiad.</t>
  </si>
  <si>
    <t>előzetesen felsz.áfa</t>
  </si>
  <si>
    <t>fizetendő áfa</t>
  </si>
  <si>
    <t>kamatkiadások</t>
  </si>
  <si>
    <t>tagdíjak, hozzájárulások</t>
  </si>
  <si>
    <t>egyéb dologi kiadások</t>
  </si>
  <si>
    <t>összesen</t>
  </si>
  <si>
    <t>ellátottak természetbeni jutt.</t>
  </si>
  <si>
    <t>ellátottak pénzbeni jutt.</t>
  </si>
  <si>
    <t>civil szervezetek tám.</t>
  </si>
  <si>
    <t>nagy értékű TESZK besz</t>
  </si>
  <si>
    <t>MINDÖSSZESEN</t>
  </si>
  <si>
    <t>LÉTSZÁM</t>
  </si>
  <si>
    <t>Kocsis István</t>
  </si>
  <si>
    <t>Anda Attila</t>
  </si>
  <si>
    <t>Csizmadia Gergely</t>
  </si>
  <si>
    <t>Gulyás Judit</t>
  </si>
  <si>
    <t>Molnárné Iván Éva</t>
  </si>
  <si>
    <t>Intézményi működési bevételek részletezése</t>
  </si>
  <si>
    <t>1.</t>
  </si>
  <si>
    <t>megnevezés</t>
  </si>
  <si>
    <t>nettó bevétel</t>
  </si>
  <si>
    <t>áfa (27%)</t>
  </si>
  <si>
    <t>2.</t>
  </si>
  <si>
    <t>óvodai étkeztetés</t>
  </si>
  <si>
    <t>3.</t>
  </si>
  <si>
    <t>4.</t>
  </si>
  <si>
    <t>5.</t>
  </si>
  <si>
    <t>szociális étkeztetés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</si>
  <si>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</si>
  <si>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</si>
  <si>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</si>
  <si>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</si>
  <si>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</si>
  <si>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</si>
  <si>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</si>
  <si>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</si>
  <si>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</si>
  <si>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</si>
  <si>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továbbszámlázott szolgáltatások</t>
  </si>
  <si>
    <t>16.</t>
  </si>
  <si>
    <t>17.</t>
  </si>
  <si>
    <t>18.</t>
  </si>
  <si>
    <t>áru- készletértékesítés</t>
  </si>
  <si>
    <t>19.</t>
  </si>
  <si>
    <t>20.</t>
  </si>
  <si>
    <t>21.</t>
  </si>
  <si>
    <t>22.</t>
  </si>
  <si>
    <t>sírhely megváltás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</si>
  <si>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</si>
  <si>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</si>
  <si>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</si>
  <si>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</si>
  <si>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</si>
  <si>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</si>
  <si>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</si>
  <si>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</si>
  <si>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</si>
  <si>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</si>
  <si>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</si>
  <si>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intézményi bevételek összesen</t>
  </si>
  <si>
    <t>34.</t>
  </si>
  <si>
    <t>074031 védőnő</t>
  </si>
  <si>
    <t>013350 ing. Bérbeadás,üzemeltetés</t>
  </si>
  <si>
    <t>o41237 közfoglalkoztatás</t>
  </si>
  <si>
    <t xml:space="preserve"> </t>
  </si>
  <si>
    <t>végkielégítés</t>
  </si>
  <si>
    <t>éves járulék</t>
  </si>
  <si>
    <t>mindösszesen</t>
  </si>
  <si>
    <t>munkaruha</t>
  </si>
  <si>
    <t>Válaszott képviselő</t>
  </si>
  <si>
    <t>tiszteletdíj</t>
  </si>
  <si>
    <t>költségtérítés</t>
  </si>
  <si>
    <t>járulék</t>
  </si>
  <si>
    <t>éves tiszteletdíj</t>
  </si>
  <si>
    <t>Illésné Lestyan Veronika</t>
  </si>
  <si>
    <t>Összesen:</t>
  </si>
  <si>
    <t>társulási tagdíj,hozzájárulás</t>
  </si>
  <si>
    <t>tartalék</t>
  </si>
  <si>
    <t>018030 finanszírozási kiadások</t>
  </si>
  <si>
    <t>ÁHT-on belüli megelőlegzések</t>
  </si>
  <si>
    <t>háziorvosi ügyeleti díj</t>
  </si>
  <si>
    <t>107060 letelepedési tám</t>
  </si>
  <si>
    <t>107060 tanévkezdés</t>
  </si>
  <si>
    <t>felnőtt vendégétkeztetés</t>
  </si>
  <si>
    <t xml:space="preserve">szolgáltatások ellenért. telj  </t>
  </si>
  <si>
    <t>műv.ház terembérlet</t>
  </si>
  <si>
    <t>saját ingatlan hasznosítás(lakbér,bérleti díj,közterület használati díj,továbbszámlázott rezsidíj)</t>
  </si>
  <si>
    <t>bruttó bevétel</t>
  </si>
  <si>
    <t>ÁHT-én belüli megelőlegzések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</si>
  <si>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</si>
  <si>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</si>
  <si>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</si>
  <si>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</si>
  <si>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</si>
  <si>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</si>
  <si>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</si>
  <si>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</si>
  <si>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</si>
  <si>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</si>
  <si>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</si>
  <si>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</si>
  <si>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</si>
  <si>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</si>
  <si>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</si>
  <si>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</si>
  <si>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</si>
  <si>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</si>
  <si>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</si>
  <si>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</si>
  <si>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</si>
  <si>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</si>
  <si>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</si>
  <si>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</si>
  <si>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</si>
  <si>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</si>
  <si>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</si>
  <si>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</si>
  <si>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Gyulai Közüzemi KFT működési hj</t>
  </si>
  <si>
    <t>Megbízási díj</t>
  </si>
  <si>
    <t>megbízási díj</t>
  </si>
  <si>
    <t>Nagybánhegyes</t>
  </si>
  <si>
    <t>Bevétel</t>
  </si>
  <si>
    <t>normatíva</t>
  </si>
  <si>
    <t>pótlék</t>
  </si>
  <si>
    <t>kifizetői adó</t>
  </si>
  <si>
    <t>EHO</t>
  </si>
  <si>
    <t>szoc.hj.adó</t>
  </si>
  <si>
    <t>belföldi kiküldetés</t>
  </si>
  <si>
    <t>irodaszer, nyomt.</t>
  </si>
  <si>
    <t>szakmai anyag</t>
  </si>
  <si>
    <t xml:space="preserve">könyv,  folyóirat </t>
  </si>
  <si>
    <t>egyéb inf.hord.</t>
  </si>
  <si>
    <t>hajtó-kenőanyag</t>
  </si>
  <si>
    <t>kisértékű Teszk</t>
  </si>
  <si>
    <t>egyéb különféle dologi kiadás</t>
  </si>
  <si>
    <t>karbantartás, kisjav</t>
  </si>
  <si>
    <t>egyéb üzemelt.</t>
  </si>
  <si>
    <t>Működési célú maradvány</t>
  </si>
  <si>
    <t>Felhalmozási célú maradvány</t>
  </si>
  <si>
    <t>Költségvetés tervezet a Kaszaperi Közös Önkormányzati Hivatal Nagybánhegyesi Kirendeltségének 2019. év</t>
  </si>
  <si>
    <t>Tiszteletdíj 2019.</t>
  </si>
  <si>
    <t>EFOP</t>
  </si>
  <si>
    <t>2019. évi normatív támogatások - Az önkormányzat 2019. évi központi alrendszerből származó forrásai</t>
  </si>
  <si>
    <t>2. melléklet az …/2019 (    ) önkormányzati rendelethez</t>
  </si>
  <si>
    <t>4. melléklet az …/2019 (       ) önkormányzati rendelethez</t>
  </si>
  <si>
    <t>Nagybánhegyes Község Önkormányzata költségvetésének összevont bevételi és kiadási előirányzatának mérlege 2019.</t>
  </si>
  <si>
    <t>Az önkormányzat 2019. évi költségvetési mérlege (Ft)</t>
  </si>
  <si>
    <t>szoc.hj (19,5%)</t>
  </si>
  <si>
    <t>2019. évi előirányzat Ft</t>
  </si>
  <si>
    <t>2022. évre</t>
  </si>
  <si>
    <t xml:space="preserve">2019. évi intézményi működési bevételek </t>
  </si>
  <si>
    <t>2019. évi kiadások részletezve</t>
  </si>
  <si>
    <t>2019. évi előirányzat Forint</t>
  </si>
  <si>
    <t>2019. évi előirányzat</t>
  </si>
  <si>
    <t>START közfoglalkoztatás</t>
  </si>
  <si>
    <t>EFOP 153</t>
  </si>
  <si>
    <t>fogorvos üzemeltetési támogatás</t>
  </si>
  <si>
    <t xml:space="preserve">Beruházási kiadások TOP </t>
  </si>
  <si>
    <t xml:space="preserve">gyermekétkeztetés (óvoda,iskola) továbbszámlázott </t>
  </si>
  <si>
    <t>Paprikafesztivál</t>
  </si>
  <si>
    <t>041233 Hosszabb időtart.közfoglalkoztatás</t>
  </si>
  <si>
    <t xml:space="preserve">Nemzeti Egészségbiztosítási Alap (háziorvos,védőnő) </t>
  </si>
  <si>
    <t>107060 temetési segély</t>
  </si>
  <si>
    <t>107060 ingyenes gyermekétkeztetés</t>
  </si>
  <si>
    <t>o94260 BURSA HUNGARICA</t>
  </si>
  <si>
    <t>95020 EFOP 392</t>
  </si>
  <si>
    <t>107080 EFOP 153</t>
  </si>
  <si>
    <t>5. melléklet az …/2019 (    ) önkormányzati rendelethez</t>
  </si>
  <si>
    <t xml:space="preserve">2. Belső finanszírozású bevétel </t>
  </si>
  <si>
    <t>Nagybánhegyes Község Önkormányzata foglalkoztatottak létszáma 2019.</t>
  </si>
  <si>
    <t>különbözet</t>
  </si>
  <si>
    <t>A különbözet finanszírozásának módja:</t>
  </si>
  <si>
    <t>Az államháztartásról szóló 2011. évi CXCV. Törvény 23.§. (2) d,e, pontjában foglaltaknak megfelelően a hiány  finanszírozási módjának levezetése</t>
  </si>
</sst>
</file>

<file path=xl/styles.xml><?xml version="1.0" encoding="utf-8"?>
<styleSheet xmlns="http://schemas.openxmlformats.org/spreadsheetml/2006/main">
  <numFmts count="7">
    <numFmt numFmtId="6" formatCode="#,##0\ &quot;Ft&quot;;[Red]\-#,##0\ &quot;Ft&quot;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\ _F_t_-;\-* #,##0.0\ _F_t_-;_-* &quot;-&quot;??\ _F_t_-;_-@_-"/>
    <numFmt numFmtId="166" formatCode="#,##0_ ;\-#,##0\ "/>
    <numFmt numFmtId="167" formatCode="#,##0\ &quot;Ft&quot;"/>
    <numFmt numFmtId="168" formatCode="#,##0.00\ &quot;Ft&quot;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name val="Calibri"/>
      <family val="2"/>
      <charset val="238"/>
      <scheme val="minor"/>
    </font>
    <font>
      <i/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51">
    <xf numFmtId="0" fontId="0" fillId="0" borderId="0" xfId="0"/>
    <xf numFmtId="0" fontId="7" fillId="0" borderId="7" xfId="0" applyFont="1" applyBorder="1"/>
    <xf numFmtId="0" fontId="0" fillId="0" borderId="0" xfId="0"/>
    <xf numFmtId="0" fontId="4" fillId="0" borderId="0" xfId="0" applyFont="1" applyAlignment="1"/>
    <xf numFmtId="6" fontId="6" fillId="0" borderId="0" xfId="0" applyNumberFormat="1" applyFont="1" applyAlignment="1">
      <alignment horizontal="left" wrapText="1"/>
    </xf>
    <xf numFmtId="6" fontId="7" fillId="0" borderId="0" xfId="0" applyNumberFormat="1" applyFont="1" applyAlignment="1">
      <alignment horizontal="left" wrapText="1"/>
    </xf>
    <xf numFmtId="0" fontId="5" fillId="0" borderId="1" xfId="0" applyFont="1" applyBorder="1"/>
    <xf numFmtId="0" fontId="7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7" fillId="0" borderId="2" xfId="0" applyFont="1" applyBorder="1" applyAlignment="1"/>
    <xf numFmtId="0" fontId="5" fillId="0" borderId="5" xfId="0" applyFont="1" applyBorder="1" applyAlignment="1">
      <alignment wrapText="1"/>
    </xf>
    <xf numFmtId="0" fontId="5" fillId="0" borderId="5" xfId="0" applyFont="1" applyBorder="1"/>
    <xf numFmtId="164" fontId="0" fillId="0" borderId="0" xfId="1" applyNumberFormat="1" applyFont="1"/>
    <xf numFmtId="164" fontId="5" fillId="0" borderId="6" xfId="1" applyNumberFormat="1" applyFont="1" applyBorder="1"/>
    <xf numFmtId="164" fontId="7" fillId="0" borderId="1" xfId="1" applyNumberFormat="1" applyFont="1" applyBorder="1"/>
    <xf numFmtId="164" fontId="5" fillId="0" borderId="1" xfId="1" applyNumberFormat="1" applyFont="1" applyBorder="1"/>
    <xf numFmtId="164" fontId="5" fillId="0" borderId="1" xfId="1" applyNumberFormat="1" applyFont="1" applyBorder="1" applyAlignment="1">
      <alignment horizontal="right"/>
    </xf>
    <xf numFmtId="0" fontId="7" fillId="0" borderId="6" xfId="0" applyFont="1" applyBorder="1" applyAlignment="1">
      <alignment wrapText="1"/>
    </xf>
    <xf numFmtId="164" fontId="7" fillId="0" borderId="7" xfId="1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wrapText="1"/>
    </xf>
    <xf numFmtId="164" fontId="5" fillId="0" borderId="4" xfId="1" applyNumberFormat="1" applyFont="1" applyBorder="1"/>
    <xf numFmtId="0" fontId="5" fillId="0" borderId="8" xfId="0" applyFont="1" applyBorder="1"/>
    <xf numFmtId="0" fontId="5" fillId="0" borderId="9" xfId="0" applyFont="1" applyBorder="1" applyAlignment="1">
      <alignment wrapText="1"/>
    </xf>
    <xf numFmtId="0" fontId="5" fillId="0" borderId="10" xfId="0" applyFont="1" applyBorder="1"/>
    <xf numFmtId="164" fontId="7" fillId="0" borderId="11" xfId="1" applyNumberFormat="1" applyFont="1" applyBorder="1"/>
    <xf numFmtId="0" fontId="5" fillId="0" borderId="7" xfId="0" applyFont="1" applyBorder="1"/>
    <xf numFmtId="0" fontId="5" fillId="0" borderId="6" xfId="0" applyFont="1" applyBorder="1" applyAlignment="1">
      <alignment wrapText="1"/>
    </xf>
    <xf numFmtId="164" fontId="5" fillId="0" borderId="7" xfId="1" applyNumberFormat="1" applyFont="1" applyBorder="1"/>
    <xf numFmtId="164" fontId="7" fillId="0" borderId="4" xfId="1" applyNumberFormat="1" applyFont="1" applyBorder="1" applyAlignment="1">
      <alignment horizontal="right"/>
    </xf>
    <xf numFmtId="164" fontId="7" fillId="0" borderId="11" xfId="1" applyNumberFormat="1" applyFont="1" applyBorder="1" applyAlignment="1">
      <alignment horizontal="right"/>
    </xf>
    <xf numFmtId="0" fontId="6" fillId="0" borderId="9" xfId="0" applyFont="1" applyBorder="1" applyAlignment="1">
      <alignment wrapText="1"/>
    </xf>
    <xf numFmtId="0" fontId="6" fillId="0" borderId="10" xfId="0" applyFont="1" applyBorder="1"/>
    <xf numFmtId="164" fontId="6" fillId="0" borderId="11" xfId="1" applyNumberFormat="1" applyFont="1" applyBorder="1"/>
    <xf numFmtId="0" fontId="2" fillId="0" borderId="1" xfId="0" applyFont="1" applyBorder="1"/>
    <xf numFmtId="0" fontId="0" fillId="0" borderId="1" xfId="0" applyBorder="1"/>
    <xf numFmtId="0" fontId="0" fillId="0" borderId="1" xfId="0" applyFont="1" applyBorder="1"/>
    <xf numFmtId="3" fontId="2" fillId="0" borderId="1" xfId="0" applyNumberFormat="1" applyFont="1" applyBorder="1"/>
    <xf numFmtId="0" fontId="0" fillId="0" borderId="1" xfId="0" applyFont="1" applyFill="1" applyBorder="1"/>
    <xf numFmtId="3" fontId="0" fillId="0" borderId="1" xfId="0" applyNumberFormat="1" applyBorder="1"/>
    <xf numFmtId="0" fontId="0" fillId="0" borderId="1" xfId="0" applyFill="1" applyBorder="1"/>
    <xf numFmtId="0" fontId="2" fillId="0" borderId="7" xfId="0" applyFont="1" applyBorder="1"/>
    <xf numFmtId="0" fontId="0" fillId="0" borderId="7" xfId="0" applyBorder="1"/>
    <xf numFmtId="0" fontId="0" fillId="0" borderId="4" xfId="0" applyBorder="1"/>
    <xf numFmtId="0" fontId="0" fillId="0" borderId="4" xfId="0" applyFill="1" applyBorder="1"/>
    <xf numFmtId="0" fontId="0" fillId="0" borderId="1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8" xfId="0" applyBorder="1"/>
    <xf numFmtId="3" fontId="0" fillId="0" borderId="7" xfId="0" applyNumberFormat="1" applyBorder="1"/>
    <xf numFmtId="0" fontId="0" fillId="0" borderId="0" xfId="0" applyBorder="1"/>
    <xf numFmtId="0" fontId="2" fillId="0" borderId="11" xfId="0" applyFont="1" applyBorder="1"/>
    <xf numFmtId="0" fontId="2" fillId="0" borderId="8" xfId="0" applyFont="1" applyBorder="1"/>
    <xf numFmtId="0" fontId="2" fillId="0" borderId="10" xfId="0" applyFont="1" applyBorder="1"/>
    <xf numFmtId="0" fontId="0" fillId="0" borderId="7" xfId="0" applyFill="1" applyBorder="1"/>
    <xf numFmtId="0" fontId="2" fillId="2" borderId="11" xfId="0" applyFont="1" applyFill="1" applyBorder="1"/>
    <xf numFmtId="0" fontId="11" fillId="0" borderId="1" xfId="0" applyFont="1" applyBorder="1"/>
    <xf numFmtId="0" fontId="12" fillId="0" borderId="8" xfId="0" applyFont="1" applyBorder="1"/>
    <xf numFmtId="0" fontId="12" fillId="0" borderId="11" xfId="0" applyFont="1" applyBorder="1"/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12" fillId="0" borderId="1" xfId="0" applyFont="1" applyBorder="1"/>
    <xf numFmtId="0" fontId="13" fillId="0" borderId="1" xfId="0" applyFont="1" applyBorder="1"/>
    <xf numFmtId="0" fontId="12" fillId="0" borderId="7" xfId="0" applyFont="1" applyBorder="1"/>
    <xf numFmtId="0" fontId="11" fillId="0" borderId="7" xfId="0" applyFont="1" applyBorder="1"/>
    <xf numFmtId="0" fontId="11" fillId="0" borderId="4" xfId="0" applyFont="1" applyBorder="1"/>
    <xf numFmtId="0" fontId="12" fillId="0" borderId="4" xfId="0" applyFont="1" applyBorder="1"/>
    <xf numFmtId="0" fontId="13" fillId="0" borderId="7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2" fillId="2" borderId="8" xfId="0" applyFont="1" applyFill="1" applyBorder="1"/>
    <xf numFmtId="0" fontId="10" fillId="0" borderId="1" xfId="0" applyFont="1" applyBorder="1"/>
    <xf numFmtId="0" fontId="10" fillId="0" borderId="7" xfId="0" applyFont="1" applyBorder="1"/>
    <xf numFmtId="0" fontId="10" fillId="0" borderId="4" xfId="0" applyFont="1" applyBorder="1"/>
    <xf numFmtId="0" fontId="14" fillId="0" borderId="8" xfId="0" applyFont="1" applyBorder="1"/>
    <xf numFmtId="0" fontId="14" fillId="0" borderId="10" xfId="0" applyFont="1" applyBorder="1"/>
    <xf numFmtId="0" fontId="10" fillId="2" borderId="4" xfId="0" applyFont="1" applyFill="1" applyBorder="1"/>
    <xf numFmtId="0" fontId="10" fillId="2" borderId="1" xfId="0" applyFont="1" applyFill="1" applyBorder="1"/>
    <xf numFmtId="0" fontId="2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right"/>
    </xf>
    <xf numFmtId="0" fontId="2" fillId="0" borderId="4" xfId="0" applyFont="1" applyBorder="1"/>
    <xf numFmtId="164" fontId="16" fillId="0" borderId="1" xfId="1" applyNumberFormat="1" applyFont="1" applyBorder="1"/>
    <xf numFmtId="3" fontId="0" fillId="0" borderId="15" xfId="0" applyNumberFormat="1" applyBorder="1"/>
    <xf numFmtId="0" fontId="17" fillId="0" borderId="15" xfId="0" applyFont="1" applyBorder="1"/>
    <xf numFmtId="3" fontId="18" fillId="0" borderId="1" xfId="0" applyNumberFormat="1" applyFont="1" applyBorder="1"/>
    <xf numFmtId="0" fontId="19" fillId="0" borderId="1" xfId="0" applyFont="1" applyBorder="1"/>
    <xf numFmtId="3" fontId="19" fillId="0" borderId="1" xfId="0" applyNumberFormat="1" applyFont="1" applyBorder="1"/>
    <xf numFmtId="0" fontId="19" fillId="0" borderId="7" xfId="0" applyFont="1" applyBorder="1"/>
    <xf numFmtId="3" fontId="19" fillId="0" borderId="11" xfId="0" applyNumberFormat="1" applyFont="1" applyBorder="1"/>
    <xf numFmtId="0" fontId="2" fillId="0" borderId="0" xfId="0" applyFont="1"/>
    <xf numFmtId="3" fontId="0" fillId="0" borderId="0" xfId="0" applyNumberFormat="1"/>
    <xf numFmtId="3" fontId="0" fillId="2" borderId="11" xfId="0" applyNumberFormat="1" applyFill="1" applyBorder="1"/>
    <xf numFmtId="43" fontId="0" fillId="0" borderId="0" xfId="1" applyFont="1"/>
    <xf numFmtId="164" fontId="0" fillId="0" borderId="15" xfId="1" applyNumberFormat="1" applyFont="1" applyBorder="1"/>
    <xf numFmtId="164" fontId="20" fillId="0" borderId="3" xfId="1" applyNumberFormat="1" applyFont="1" applyBorder="1"/>
    <xf numFmtId="164" fontId="0" fillId="0" borderId="7" xfId="1" applyNumberFormat="1" applyFont="1" applyBorder="1"/>
    <xf numFmtId="164" fontId="0" fillId="0" borderId="4" xfId="1" applyNumberFormat="1" applyFont="1" applyBorder="1"/>
    <xf numFmtId="164" fontId="0" fillId="0" borderId="1" xfId="1" applyNumberFormat="1" applyFont="1" applyBorder="1"/>
    <xf numFmtId="164" fontId="0" fillId="0" borderId="18" xfId="1" applyNumberFormat="1" applyFont="1" applyBorder="1"/>
    <xf numFmtId="164" fontId="0" fillId="2" borderId="15" xfId="1" applyNumberFormat="1" applyFont="1" applyFill="1" applyBorder="1"/>
    <xf numFmtId="164" fontId="12" fillId="0" borderId="1" xfId="1" applyNumberFormat="1" applyFont="1" applyBorder="1"/>
    <xf numFmtId="164" fontId="11" fillId="0" borderId="1" xfId="1" applyNumberFormat="1" applyFont="1" applyBorder="1"/>
    <xf numFmtId="164" fontId="11" fillId="0" borderId="7" xfId="1" applyNumberFormat="1" applyFont="1" applyBorder="1"/>
    <xf numFmtId="164" fontId="12" fillId="0" borderId="11" xfId="1" applyNumberFormat="1" applyFont="1" applyBorder="1"/>
    <xf numFmtId="164" fontId="12" fillId="0" borderId="4" xfId="1" applyNumberFormat="1" applyFont="1" applyBorder="1"/>
    <xf numFmtId="0" fontId="12" fillId="0" borderId="18" xfId="0" applyFont="1" applyBorder="1"/>
    <xf numFmtId="0" fontId="11" fillId="0" borderId="18" xfId="0" applyFont="1" applyBorder="1"/>
    <xf numFmtId="0" fontId="11" fillId="0" borderId="10" xfId="0" applyFont="1" applyBorder="1"/>
    <xf numFmtId="0" fontId="12" fillId="0" borderId="10" xfId="0" applyFont="1" applyBorder="1"/>
    <xf numFmtId="164" fontId="12" fillId="2" borderId="11" xfId="0" applyNumberFormat="1" applyFont="1" applyFill="1" applyBorder="1"/>
    <xf numFmtId="3" fontId="12" fillId="2" borderId="11" xfId="0" applyNumberFormat="1" applyFont="1" applyFill="1" applyBorder="1"/>
    <xf numFmtId="0" fontId="13" fillId="0" borderId="24" xfId="0" applyFont="1" applyBorder="1"/>
    <xf numFmtId="1" fontId="0" fillId="0" borderId="15" xfId="1" applyNumberFormat="1" applyFont="1" applyBorder="1"/>
    <xf numFmtId="1" fontId="10" fillId="2" borderId="1" xfId="0" applyNumberFormat="1" applyFont="1" applyFill="1" applyBorder="1"/>
    <xf numFmtId="3" fontId="0" fillId="3" borderId="7" xfId="0" applyNumberFormat="1" applyFill="1" applyBorder="1"/>
    <xf numFmtId="0" fontId="21" fillId="0" borderId="0" xfId="0" applyFont="1"/>
    <xf numFmtId="164" fontId="20" fillId="0" borderId="25" xfId="1" applyNumberFormat="1" applyFont="1" applyBorder="1"/>
    <xf numFmtId="0" fontId="2" fillId="0" borderId="22" xfId="0" applyFont="1" applyBorder="1"/>
    <xf numFmtId="0" fontId="0" fillId="0" borderId="11" xfId="0" applyBorder="1"/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1" applyNumberFormat="1" applyFont="1" applyAlignment="1">
      <alignment horizontal="center"/>
    </xf>
    <xf numFmtId="0" fontId="11" fillId="0" borderId="26" xfId="0" applyFont="1" applyBorder="1"/>
    <xf numFmtId="0" fontId="11" fillId="0" borderId="27" xfId="0" applyFont="1" applyBorder="1"/>
    <xf numFmtId="0" fontId="11" fillId="0" borderId="23" xfId="0" applyFont="1" applyBorder="1"/>
    <xf numFmtId="0" fontId="12" fillId="0" borderId="0" xfId="0" applyFont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11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11" fillId="0" borderId="12" xfId="0" applyFont="1" applyBorder="1"/>
    <xf numFmtId="3" fontId="11" fillId="0" borderId="1" xfId="1" applyNumberFormat="1" applyFont="1" applyFill="1" applyBorder="1" applyAlignment="1">
      <alignment horizontal="center"/>
    </xf>
    <xf numFmtId="164" fontId="11" fillId="0" borderId="1" xfId="1" applyNumberFormat="1" applyFont="1" applyFill="1" applyBorder="1"/>
    <xf numFmtId="1" fontId="11" fillId="0" borderId="1" xfId="1" applyNumberFormat="1" applyFont="1" applyFill="1" applyBorder="1"/>
    <xf numFmtId="164" fontId="5" fillId="0" borderId="1" xfId="1" applyNumberFormat="1" applyFont="1" applyFill="1" applyBorder="1"/>
    <xf numFmtId="3" fontId="12" fillId="4" borderId="1" xfId="1" applyNumberFormat="1" applyFont="1" applyFill="1" applyBorder="1" applyAlignment="1">
      <alignment horizontal="center"/>
    </xf>
    <xf numFmtId="43" fontId="12" fillId="4" borderId="1" xfId="1" applyFont="1" applyFill="1" applyBorder="1" applyAlignment="1">
      <alignment horizontal="center"/>
    </xf>
    <xf numFmtId="164" fontId="12" fillId="4" borderId="1" xfId="1" applyNumberFormat="1" applyFont="1" applyFill="1" applyBorder="1" applyAlignment="1">
      <alignment horizontal="center"/>
    </xf>
    <xf numFmtId="3" fontId="11" fillId="0" borderId="0" xfId="0" applyNumberFormat="1" applyFont="1"/>
    <xf numFmtId="164" fontId="11" fillId="0" borderId="1" xfId="1" applyNumberFormat="1" applyFont="1" applyFill="1" applyBorder="1" applyAlignment="1">
      <alignment horizontal="center"/>
    </xf>
    <xf numFmtId="3" fontId="11" fillId="0" borderId="0" xfId="0" applyNumberFormat="1" applyFont="1" applyFill="1"/>
    <xf numFmtId="0" fontId="11" fillId="0" borderId="0" xfId="0" applyFont="1" applyFill="1"/>
    <xf numFmtId="3" fontId="12" fillId="5" borderId="1" xfId="1" applyNumberFormat="1" applyFont="1" applyFill="1" applyBorder="1" applyAlignment="1">
      <alignment horizontal="center"/>
    </xf>
    <xf numFmtId="164" fontId="12" fillId="5" borderId="1" xfId="1" applyNumberFormat="1" applyFont="1" applyFill="1" applyBorder="1"/>
    <xf numFmtId="0" fontId="11" fillId="0" borderId="1" xfId="1" applyNumberFormat="1" applyFont="1" applyBorder="1"/>
    <xf numFmtId="0" fontId="11" fillId="0" borderId="1" xfId="1" applyNumberFormat="1" applyFont="1" applyFill="1" applyBorder="1"/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5" fillId="0" borderId="1" xfId="1" applyNumberFormat="1" applyFont="1" applyFill="1" applyBorder="1"/>
    <xf numFmtId="0" fontId="11" fillId="0" borderId="1" xfId="1" applyNumberFormat="1" applyFont="1" applyBorder="1" applyAlignment="1">
      <alignment horizontal="center"/>
    </xf>
    <xf numFmtId="0" fontId="11" fillId="0" borderId="1" xfId="1" applyNumberFormat="1" applyFont="1" applyFill="1" applyBorder="1" applyAlignment="1">
      <alignment horizontal="center"/>
    </xf>
    <xf numFmtId="0" fontId="11" fillId="3" borderId="1" xfId="1" applyNumberFormat="1" applyFont="1" applyFill="1" applyBorder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6" borderId="1" xfId="1" applyNumberFormat="1" applyFont="1" applyFill="1" applyBorder="1" applyAlignment="1">
      <alignment horizontal="center"/>
    </xf>
    <xf numFmtId="0" fontId="11" fillId="3" borderId="1" xfId="0" applyFont="1" applyFill="1" applyBorder="1" applyAlignment="1"/>
    <xf numFmtId="0" fontId="12" fillId="3" borderId="1" xfId="1" applyNumberFormat="1" applyFont="1" applyFill="1" applyBorder="1" applyAlignment="1">
      <alignment horizontal="center"/>
    </xf>
    <xf numFmtId="0" fontId="7" fillId="3" borderId="1" xfId="1" applyNumberFormat="1" applyFont="1" applyFill="1" applyBorder="1" applyAlignment="1">
      <alignment horizontal="center"/>
    </xf>
    <xf numFmtId="0" fontId="7" fillId="3" borderId="1" xfId="0" applyFont="1" applyFill="1" applyBorder="1"/>
    <xf numFmtId="0" fontId="12" fillId="3" borderId="0" xfId="0" applyFont="1" applyFill="1"/>
    <xf numFmtId="0" fontId="11" fillId="3" borderId="1" xfId="0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1" xfId="1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1" xfId="1" applyNumberFormat="1" applyFont="1" applyFill="1" applyBorder="1" applyAlignment="1">
      <alignment horizontal="center"/>
    </xf>
    <xf numFmtId="164" fontId="12" fillId="0" borderId="0" xfId="0" applyNumberFormat="1" applyFont="1"/>
    <xf numFmtId="165" fontId="11" fillId="0" borderId="1" xfId="1" applyNumberFormat="1" applyFont="1" applyBorder="1" applyAlignment="1">
      <alignment horizontal="center"/>
    </xf>
    <xf numFmtId="0" fontId="11" fillId="0" borderId="0" xfId="0" applyFont="1" applyBorder="1"/>
    <xf numFmtId="3" fontId="11" fillId="0" borderId="0" xfId="1" applyNumberFormat="1" applyFont="1" applyAlignment="1">
      <alignment horizontal="center" wrapText="1"/>
    </xf>
    <xf numFmtId="164" fontId="24" fillId="0" borderId="0" xfId="2" applyNumberFormat="1" applyFont="1" applyBorder="1" applyAlignment="1"/>
    <xf numFmtId="0" fontId="25" fillId="0" borderId="0" xfId="0" applyFont="1"/>
    <xf numFmtId="0" fontId="26" fillId="0" borderId="0" xfId="0" applyFont="1"/>
    <xf numFmtId="0" fontId="22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8" fillId="0" borderId="1" xfId="0" applyFont="1" applyBorder="1"/>
    <xf numFmtId="164" fontId="28" fillId="0" borderId="0" xfId="1" applyNumberFormat="1" applyFont="1" applyAlignment="1">
      <alignment wrapText="1"/>
    </xf>
    <xf numFmtId="0" fontId="24" fillId="0" borderId="1" xfId="0" applyFont="1" applyBorder="1" applyAlignment="1"/>
    <xf numFmtId="164" fontId="7" fillId="0" borderId="1" xfId="2" applyNumberFormat="1" applyFont="1" applyBorder="1"/>
    <xf numFmtId="164" fontId="24" fillId="0" borderId="12" xfId="2" applyNumberFormat="1" applyFont="1" applyBorder="1"/>
    <xf numFmtId="0" fontId="28" fillId="0" borderId="0" xfId="0" applyFont="1"/>
    <xf numFmtId="0" fontId="28" fillId="0" borderId="1" xfId="0" applyFont="1" applyBorder="1" applyAlignment="1"/>
    <xf numFmtId="164" fontId="5" fillId="0" borderId="1" xfId="2" applyNumberFormat="1" applyFont="1" applyBorder="1"/>
    <xf numFmtId="0" fontId="28" fillId="0" borderId="1" xfId="2" applyNumberFormat="1" applyFont="1" applyBorder="1"/>
    <xf numFmtId="3" fontId="28" fillId="0" borderId="0" xfId="0" applyNumberFormat="1" applyFont="1"/>
    <xf numFmtId="164" fontId="5" fillId="0" borderId="1" xfId="2" applyNumberFormat="1" applyFont="1" applyBorder="1" applyAlignment="1"/>
    <xf numFmtId="164" fontId="5" fillId="0" borderId="1" xfId="2" applyNumberFormat="1" applyFont="1" applyFill="1" applyBorder="1" applyAlignment="1"/>
    <xf numFmtId="164" fontId="5" fillId="0" borderId="1" xfId="2" applyNumberFormat="1" applyFont="1" applyFill="1" applyBorder="1"/>
    <xf numFmtId="0" fontId="28" fillId="3" borderId="1" xfId="0" applyFont="1" applyFill="1" applyBorder="1" applyAlignment="1"/>
    <xf numFmtId="0" fontId="28" fillId="0" borderId="1" xfId="0" applyFont="1" applyFill="1" applyBorder="1" applyAlignment="1"/>
    <xf numFmtId="1" fontId="7" fillId="0" borderId="1" xfId="1" applyNumberFormat="1" applyFont="1" applyBorder="1"/>
    <xf numFmtId="0" fontId="7" fillId="0" borderId="1" xfId="2" applyNumberFormat="1" applyFont="1" applyBorder="1"/>
    <xf numFmtId="1" fontId="24" fillId="0" borderId="1" xfId="2" applyNumberFormat="1" applyFont="1" applyBorder="1" applyAlignment="1"/>
    <xf numFmtId="164" fontId="0" fillId="0" borderId="0" xfId="0" applyNumberFormat="1"/>
    <xf numFmtId="0" fontId="2" fillId="0" borderId="4" xfId="0" applyFont="1" applyBorder="1" applyAlignment="1">
      <alignment wrapText="1"/>
    </xf>
    <xf numFmtId="0" fontId="0" fillId="0" borderId="0" xfId="0" applyAlignment="1">
      <alignment wrapText="1"/>
    </xf>
    <xf numFmtId="1" fontId="0" fillId="0" borderId="1" xfId="0" applyNumberFormat="1" applyBorder="1"/>
    <xf numFmtId="0" fontId="2" fillId="2" borderId="8" xfId="0" applyFont="1" applyFill="1" applyBorder="1"/>
    <xf numFmtId="1" fontId="2" fillId="2" borderId="10" xfId="0" applyNumberFormat="1" applyFont="1" applyFill="1" applyBorder="1"/>
    <xf numFmtId="1" fontId="2" fillId="2" borderId="11" xfId="0" applyNumberFormat="1" applyFont="1" applyFill="1" applyBorder="1"/>
    <xf numFmtId="0" fontId="21" fillId="0" borderId="24" xfId="0" applyFont="1" applyBorder="1"/>
    <xf numFmtId="1" fontId="12" fillId="5" borderId="1" xfId="1" applyNumberFormat="1" applyFont="1" applyFill="1" applyBorder="1"/>
    <xf numFmtId="3" fontId="5" fillId="0" borderId="1" xfId="1" applyNumberFormat="1" applyFont="1" applyFill="1" applyBorder="1" applyAlignment="1"/>
    <xf numFmtId="164" fontId="11" fillId="0" borderId="1" xfId="1" applyNumberFormat="1" applyFont="1" applyFill="1" applyBorder="1" applyAlignment="1"/>
    <xf numFmtId="164" fontId="11" fillId="0" borderId="1" xfId="1" applyNumberFormat="1" applyFont="1" applyBorder="1" applyAlignment="1"/>
    <xf numFmtId="0" fontId="0" fillId="0" borderId="1" xfId="0" applyBorder="1" applyAlignment="1"/>
    <xf numFmtId="0" fontId="0" fillId="7" borderId="1" xfId="0" applyFill="1" applyBorder="1" applyAlignment="1"/>
    <xf numFmtId="0" fontId="22" fillId="0" borderId="0" xfId="0" applyFont="1" applyAlignment="1">
      <alignment horizontal="center"/>
    </xf>
    <xf numFmtId="0" fontId="28" fillId="0" borderId="1" xfId="0" applyFont="1" applyFill="1" applyBorder="1" applyAlignment="1">
      <alignment horizontal="left" wrapText="1"/>
    </xf>
    <xf numFmtId="0" fontId="29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166" fontId="0" fillId="0" borderId="1" xfId="1" applyNumberFormat="1" applyFont="1" applyBorder="1"/>
    <xf numFmtId="0" fontId="7" fillId="0" borderId="0" xfId="0" applyFont="1"/>
    <xf numFmtId="164" fontId="7" fillId="4" borderId="3" xfId="0" applyNumberFormat="1" applyFont="1" applyFill="1" applyBorder="1"/>
    <xf numFmtId="164" fontId="7" fillId="4" borderId="2" xfId="0" applyNumberFormat="1" applyFont="1" applyFill="1" applyBorder="1"/>
    <xf numFmtId="164" fontId="7" fillId="4" borderId="2" xfId="1" applyNumberFormat="1" applyFont="1" applyFill="1" applyBorder="1"/>
    <xf numFmtId="164" fontId="7" fillId="0" borderId="0" xfId="0" applyNumberFormat="1" applyFont="1"/>
    <xf numFmtId="164" fontId="7" fillId="0" borderId="0" xfId="2" applyNumberFormat="1" applyFont="1" applyBorder="1" applyAlignment="1"/>
    <xf numFmtId="164" fontId="7" fillId="4" borderId="2" xfId="1" applyNumberFormat="1" applyFont="1" applyFill="1" applyBorder="1" applyAlignment="1">
      <alignment horizontal="center"/>
    </xf>
    <xf numFmtId="0" fontId="12" fillId="0" borderId="1" xfId="1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164" fontId="11" fillId="0" borderId="0" xfId="0" applyNumberFormat="1" applyFont="1"/>
    <xf numFmtId="3" fontId="0" fillId="0" borderId="0" xfId="0" applyNumberFormat="1" applyBorder="1"/>
    <xf numFmtId="0" fontId="30" fillId="0" borderId="0" xfId="0" applyFont="1" applyAlignment="1">
      <alignment horizontal="center"/>
    </xf>
    <xf numFmtId="0" fontId="30" fillId="0" borderId="0" xfId="0" applyFont="1"/>
    <xf numFmtId="0" fontId="19" fillId="0" borderId="0" xfId="0" applyFont="1" applyBorder="1" applyAlignment="1">
      <alignment horizontal="center" wrapText="1"/>
    </xf>
    <xf numFmtId="0" fontId="30" fillId="0" borderId="34" xfId="0" applyFont="1" applyBorder="1" applyAlignment="1">
      <alignment horizontal="center"/>
    </xf>
    <xf numFmtId="164" fontId="30" fillId="0" borderId="37" xfId="1" applyNumberFormat="1" applyFont="1" applyBorder="1" applyAlignment="1">
      <alignment horizontal="center"/>
    </xf>
    <xf numFmtId="164" fontId="30" fillId="0" borderId="0" xfId="1" applyNumberFormat="1" applyFont="1" applyBorder="1" applyAlignment="1">
      <alignment horizontal="center"/>
    </xf>
    <xf numFmtId="0" fontId="30" fillId="0" borderId="38" xfId="0" applyFont="1" applyBorder="1" applyAlignment="1">
      <alignment horizontal="center"/>
    </xf>
    <xf numFmtId="167" fontId="30" fillId="0" borderId="2" xfId="1" applyNumberFormat="1" applyFont="1" applyBorder="1" applyAlignment="1"/>
    <xf numFmtId="164" fontId="30" fillId="0" borderId="40" xfId="1" applyNumberFormat="1" applyFont="1" applyBorder="1" applyAlignment="1">
      <alignment horizontal="center"/>
    </xf>
    <xf numFmtId="0" fontId="30" fillId="0" borderId="41" xfId="0" applyFont="1" applyBorder="1" applyAlignment="1">
      <alignment horizontal="center"/>
    </xf>
    <xf numFmtId="0" fontId="19" fillId="0" borderId="42" xfId="0" applyFont="1" applyBorder="1"/>
    <xf numFmtId="164" fontId="30" fillId="0" borderId="0" xfId="0" applyNumberFormat="1" applyFont="1"/>
    <xf numFmtId="164" fontId="19" fillId="4" borderId="40" xfId="1" applyNumberFormat="1" applyFont="1" applyFill="1" applyBorder="1" applyAlignment="1">
      <alignment horizontal="center"/>
    </xf>
    <xf numFmtId="164" fontId="19" fillId="0" borderId="0" xfId="1" applyNumberFormat="1" applyFont="1" applyFill="1" applyBorder="1" applyAlignment="1">
      <alignment horizontal="center"/>
    </xf>
    <xf numFmtId="164" fontId="19" fillId="4" borderId="45" xfId="1" applyNumberFormat="1" applyFont="1" applyFill="1" applyBorder="1" applyAlignment="1">
      <alignment horizontal="center"/>
    </xf>
    <xf numFmtId="164" fontId="30" fillId="0" borderId="0" xfId="1" applyNumberFormat="1" applyFont="1" applyAlignment="1">
      <alignment horizontal="center"/>
    </xf>
    <xf numFmtId="164" fontId="30" fillId="0" borderId="0" xfId="1" applyNumberFormat="1" applyFont="1" applyFill="1" applyAlignment="1">
      <alignment horizontal="center"/>
    </xf>
    <xf numFmtId="168" fontId="19" fillId="0" borderId="0" xfId="1" applyNumberFormat="1" applyFont="1" applyAlignment="1">
      <alignment horizontal="center"/>
    </xf>
    <xf numFmtId="0" fontId="19" fillId="0" borderId="0" xfId="0" applyFont="1"/>
    <xf numFmtId="3" fontId="0" fillId="3" borderId="1" xfId="0" applyNumberFormat="1" applyFill="1" applyBorder="1"/>
    <xf numFmtId="0" fontId="14" fillId="0" borderId="1" xfId="0" applyFont="1" applyBorder="1"/>
    <xf numFmtId="0" fontId="14" fillId="0" borderId="7" xfId="0" applyFont="1" applyBorder="1"/>
    <xf numFmtId="3" fontId="10" fillId="0" borderId="4" xfId="0" applyNumberFormat="1" applyFont="1" applyBorder="1"/>
    <xf numFmtId="3" fontId="10" fillId="0" borderId="1" xfId="0" applyNumberFormat="1" applyFont="1" applyBorder="1"/>
    <xf numFmtId="3" fontId="14" fillId="0" borderId="1" xfId="0" applyNumberFormat="1" applyFont="1" applyBorder="1"/>
    <xf numFmtId="1" fontId="10" fillId="0" borderId="4" xfId="0" applyNumberFormat="1" applyFont="1" applyBorder="1"/>
    <xf numFmtId="0" fontId="14" fillId="0" borderId="4" xfId="0" applyFont="1" applyBorder="1"/>
    <xf numFmtId="0" fontId="14" fillId="0" borderId="9" xfId="0" applyFont="1" applyBorder="1"/>
    <xf numFmtId="0" fontId="10" fillId="0" borderId="18" xfId="0" applyFont="1" applyBorder="1"/>
    <xf numFmtId="0" fontId="10" fillId="0" borderId="46" xfId="0" applyFont="1" applyBorder="1"/>
    <xf numFmtId="1" fontId="10" fillId="2" borderId="4" xfId="0" applyNumberFormat="1" applyFont="1" applyFill="1" applyBorder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1" fontId="0" fillId="0" borderId="0" xfId="0" applyNumberFormat="1" applyBorder="1"/>
    <xf numFmtId="0" fontId="2" fillId="0" borderId="0" xfId="0" applyFont="1" applyFill="1" applyBorder="1"/>
    <xf numFmtId="1" fontId="2" fillId="0" borderId="0" xfId="0" applyNumberFormat="1" applyFont="1" applyFill="1" applyBorder="1"/>
    <xf numFmtId="0" fontId="0" fillId="0" borderId="0" xfId="0" applyFill="1" applyBorder="1"/>
    <xf numFmtId="3" fontId="2" fillId="0" borderId="0" xfId="0" applyNumberFormat="1" applyFont="1" applyFill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3" borderId="0" xfId="0" applyFont="1" applyFill="1" applyAlignment="1">
      <alignment vertical="center" wrapText="1"/>
    </xf>
    <xf numFmtId="49" fontId="11" fillId="0" borderId="13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3" fontId="11" fillId="0" borderId="1" xfId="1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3" fontId="0" fillId="0" borderId="1" xfId="0" applyNumberFormat="1" applyFill="1" applyBorder="1"/>
    <xf numFmtId="0" fontId="2" fillId="0" borderId="0" xfId="0" applyFont="1" applyBorder="1" applyAlignment="1">
      <alignment horizontal="center"/>
    </xf>
    <xf numFmtId="164" fontId="28" fillId="0" borderId="1" xfId="2" applyNumberFormat="1" applyFont="1" applyBorder="1"/>
    <xf numFmtId="165" fontId="7" fillId="4" borderId="1" xfId="0" applyNumberFormat="1" applyFont="1" applyFill="1" applyBorder="1"/>
    <xf numFmtId="3" fontId="2" fillId="0" borderId="11" xfId="0" applyNumberFormat="1" applyFont="1" applyBorder="1"/>
    <xf numFmtId="3" fontId="0" fillId="0" borderId="4" xfId="0" applyNumberFormat="1" applyFill="1" applyBorder="1"/>
    <xf numFmtId="3" fontId="0" fillId="0" borderId="11" xfId="0" applyNumberFormat="1" applyBorder="1"/>
    <xf numFmtId="3" fontId="10" fillId="2" borderId="4" xfId="0" applyNumberFormat="1" applyFont="1" applyFill="1" applyBorder="1"/>
    <xf numFmtId="1" fontId="14" fillId="0" borderId="10" xfId="0" applyNumberFormat="1" applyFont="1" applyBorder="1"/>
    <xf numFmtId="1" fontId="14" fillId="0" borderId="4" xfId="0" applyNumberFormat="1" applyFont="1" applyBorder="1"/>
    <xf numFmtId="167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19" fillId="4" borderId="28" xfId="0" applyFont="1" applyFill="1" applyBorder="1" applyAlignment="1">
      <alignment horizontal="center"/>
    </xf>
    <xf numFmtId="0" fontId="19" fillId="4" borderId="44" xfId="0" applyFont="1" applyFill="1" applyBorder="1" applyAlignment="1">
      <alignment horizontal="center"/>
    </xf>
    <xf numFmtId="0" fontId="19" fillId="4" borderId="28" xfId="0" applyFont="1" applyFill="1" applyBorder="1" applyAlignment="1">
      <alignment horizontal="center" wrapText="1"/>
    </xf>
    <xf numFmtId="0" fontId="30" fillId="0" borderId="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0" fillId="0" borderId="0" xfId="0" applyFont="1" applyBorder="1" applyAlignment="1">
      <alignment horizontal="center" vertical="center" wrapText="1"/>
    </xf>
    <xf numFmtId="164" fontId="30" fillId="0" borderId="1" xfId="1" applyNumberFormat="1" applyFont="1" applyBorder="1" applyAlignment="1">
      <alignment horizontal="center"/>
    </xf>
    <xf numFmtId="164" fontId="30" fillId="0" borderId="39" xfId="1" applyNumberFormat="1" applyFont="1" applyBorder="1" applyAlignment="1">
      <alignment horizontal="center"/>
    </xf>
    <xf numFmtId="164" fontId="19" fillId="0" borderId="30" xfId="0" applyNumberFormat="1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32" xfId="0" applyFont="1" applyBorder="1" applyAlignment="1">
      <alignment horizontal="center"/>
    </xf>
    <xf numFmtId="0" fontId="19" fillId="0" borderId="19" xfId="0" applyFont="1" applyBorder="1" applyAlignment="1">
      <alignment horizontal="center" wrapText="1"/>
    </xf>
    <xf numFmtId="0" fontId="19" fillId="0" borderId="29" xfId="0" applyFont="1" applyBorder="1" applyAlignment="1">
      <alignment horizontal="center" wrapText="1"/>
    </xf>
    <xf numFmtId="0" fontId="19" fillId="0" borderId="31" xfId="0" applyFont="1" applyBorder="1" applyAlignment="1">
      <alignment horizontal="center" wrapText="1"/>
    </xf>
    <xf numFmtId="0" fontId="19" fillId="0" borderId="33" xfId="0" applyFont="1" applyBorder="1" applyAlignment="1">
      <alignment horizontal="center" wrapText="1"/>
    </xf>
    <xf numFmtId="0" fontId="30" fillId="0" borderId="20" xfId="0" applyFont="1" applyBorder="1" applyAlignment="1">
      <alignment horizontal="center" wrapText="1"/>
    </xf>
    <xf numFmtId="0" fontId="30" fillId="0" borderId="34" xfId="0" applyFont="1" applyBorder="1" applyAlignment="1">
      <alignment horizontal="center" wrapText="1"/>
    </xf>
    <xf numFmtId="0" fontId="19" fillId="0" borderId="17" xfId="0" applyFont="1" applyBorder="1" applyAlignment="1">
      <alignment horizontal="center" wrapText="1"/>
    </xf>
    <xf numFmtId="0" fontId="19" fillId="0" borderId="35" xfId="0" applyFont="1" applyBorder="1" applyAlignment="1">
      <alignment horizontal="center" wrapText="1"/>
    </xf>
    <xf numFmtId="0" fontId="19" fillId="0" borderId="36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4" fillId="0" borderId="12" xfId="0" applyFont="1" applyBorder="1" applyAlignment="1">
      <alignment horizontal="center" wrapText="1"/>
    </xf>
    <xf numFmtId="0" fontId="24" fillId="0" borderId="28" xfId="0" applyFont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27" xfId="0" applyFont="1" applyBorder="1" applyAlignment="1">
      <alignment horizontal="left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"/>
  <sheetViews>
    <sheetView tabSelected="1" workbookViewId="0">
      <selection activeCell="B33" sqref="B33"/>
    </sheetView>
  </sheetViews>
  <sheetFormatPr defaultRowHeight="15"/>
  <cols>
    <col min="2" max="2" width="74.28515625" customWidth="1"/>
    <col min="3" max="3" width="29.140625" customWidth="1"/>
    <col min="4" max="4" width="47.7109375" customWidth="1"/>
  </cols>
  <sheetData>
    <row r="1" spans="1:4">
      <c r="A1" s="2"/>
      <c r="B1" s="3" t="s">
        <v>0</v>
      </c>
      <c r="C1" s="2"/>
      <c r="D1" s="12"/>
    </row>
    <row r="3" spans="1:4" ht="18.75">
      <c r="A3" s="2"/>
      <c r="B3" s="330" t="s">
        <v>341</v>
      </c>
      <c r="C3" s="330"/>
      <c r="D3" s="330"/>
    </row>
    <row r="4" spans="1:4" ht="15.75">
      <c r="A4" s="2"/>
      <c r="B4" s="4"/>
      <c r="C4" s="2"/>
      <c r="D4" s="2"/>
    </row>
    <row r="5" spans="1:4">
      <c r="A5" s="2"/>
      <c r="B5" s="5"/>
      <c r="C5" s="2"/>
      <c r="D5" s="2"/>
    </row>
    <row r="6" spans="1:4" ht="30.75" customHeight="1">
      <c r="A6" s="6">
        <v>1</v>
      </c>
      <c r="B6" s="10" t="s">
        <v>1</v>
      </c>
      <c r="C6" s="11"/>
      <c r="D6" s="13"/>
    </row>
    <row r="7" spans="1:4" ht="15.75" thickBot="1">
      <c r="A7" s="1">
        <v>2</v>
      </c>
      <c r="B7" s="17" t="s">
        <v>2</v>
      </c>
      <c r="C7" s="1" t="s">
        <v>3</v>
      </c>
      <c r="D7" s="18" t="s">
        <v>4</v>
      </c>
    </row>
    <row r="8" spans="1:4" ht="42.75" customHeight="1" thickBot="1">
      <c r="A8" s="22">
        <v>3</v>
      </c>
      <c r="B8" s="23" t="s">
        <v>5</v>
      </c>
      <c r="C8" s="24"/>
      <c r="D8" s="25">
        <f>D10+D15+D16+D17+D18</f>
        <v>18602046</v>
      </c>
    </row>
    <row r="9" spans="1:4" ht="12.75" customHeight="1">
      <c r="A9" s="19">
        <v>4</v>
      </c>
      <c r="B9" s="20" t="s">
        <v>6</v>
      </c>
      <c r="C9" s="19"/>
      <c r="D9" s="21"/>
    </row>
    <row r="10" spans="1:4" ht="18.75" customHeight="1">
      <c r="A10" s="6">
        <v>5</v>
      </c>
      <c r="B10" s="7" t="s">
        <v>7</v>
      </c>
      <c r="C10" s="6" t="s">
        <v>8</v>
      </c>
      <c r="D10" s="14">
        <f>SUM(D11:D14)</f>
        <v>14818742</v>
      </c>
    </row>
    <row r="11" spans="1:4">
      <c r="A11" s="6">
        <v>6</v>
      </c>
      <c r="B11" s="8" t="s">
        <v>9</v>
      </c>
      <c r="C11" s="6" t="s">
        <v>8</v>
      </c>
      <c r="D11" s="15">
        <v>3991700</v>
      </c>
    </row>
    <row r="12" spans="1:4" ht="12.75" customHeight="1">
      <c r="A12" s="6">
        <v>7</v>
      </c>
      <c r="B12" s="8" t="s">
        <v>10</v>
      </c>
      <c r="C12" s="6" t="s">
        <v>11</v>
      </c>
      <c r="D12" s="15">
        <v>4576000</v>
      </c>
    </row>
    <row r="13" spans="1:4">
      <c r="A13" s="6">
        <v>8</v>
      </c>
      <c r="B13" s="8" t="s">
        <v>12</v>
      </c>
      <c r="C13" s="6" t="s">
        <v>8</v>
      </c>
      <c r="D13" s="16">
        <v>3293232</v>
      </c>
    </row>
    <row r="14" spans="1:4">
      <c r="A14" s="6">
        <v>9</v>
      </c>
      <c r="B14" s="8" t="s">
        <v>13</v>
      </c>
      <c r="C14" s="6" t="s">
        <v>11</v>
      </c>
      <c r="D14" s="15">
        <v>2957810</v>
      </c>
    </row>
    <row r="15" spans="1:4">
      <c r="A15" s="6">
        <v>10</v>
      </c>
      <c r="B15" s="9" t="s">
        <v>14</v>
      </c>
      <c r="C15" s="6" t="s">
        <v>8</v>
      </c>
      <c r="D15" s="14">
        <v>2649754</v>
      </c>
    </row>
    <row r="16" spans="1:4">
      <c r="A16" s="6">
        <v>11</v>
      </c>
      <c r="B16" s="9" t="s">
        <v>15</v>
      </c>
      <c r="C16" s="6" t="s">
        <v>16</v>
      </c>
      <c r="D16" s="14">
        <v>7650</v>
      </c>
    </row>
    <row r="17" spans="1:4">
      <c r="A17" s="6">
        <v>12</v>
      </c>
      <c r="B17" s="7" t="s">
        <v>17</v>
      </c>
      <c r="C17" s="6" t="s">
        <v>18</v>
      </c>
      <c r="D17" s="14">
        <v>5400</v>
      </c>
    </row>
    <row r="18" spans="1:4" ht="15.75" thickBot="1">
      <c r="A18" s="26">
        <v>13</v>
      </c>
      <c r="B18" s="17" t="s">
        <v>142</v>
      </c>
      <c r="C18" s="26"/>
      <c r="D18" s="18">
        <v>1120500</v>
      </c>
    </row>
    <row r="19" spans="1:4" ht="27" thickBot="1">
      <c r="A19" s="22">
        <v>1</v>
      </c>
      <c r="B19" s="23" t="s">
        <v>19</v>
      </c>
      <c r="C19" s="24"/>
      <c r="D19" s="25">
        <f>SUM(D20:D21)</f>
        <v>9001000</v>
      </c>
    </row>
    <row r="20" spans="1:4">
      <c r="A20" s="19">
        <v>2</v>
      </c>
      <c r="B20" s="20" t="s">
        <v>20</v>
      </c>
      <c r="C20" s="19" t="s">
        <v>8</v>
      </c>
      <c r="D20" s="21">
        <v>9001000</v>
      </c>
    </row>
    <row r="21" spans="1:4">
      <c r="A21" s="6">
        <v>3</v>
      </c>
      <c r="B21" s="8" t="s">
        <v>130</v>
      </c>
      <c r="C21" s="6" t="s">
        <v>8</v>
      </c>
      <c r="D21" s="81">
        <f>SUM(D22:D24)</f>
        <v>0</v>
      </c>
    </row>
    <row r="22" spans="1:4">
      <c r="A22" s="6">
        <v>4</v>
      </c>
      <c r="B22" s="8" t="s">
        <v>21</v>
      </c>
      <c r="C22" s="6" t="s">
        <v>22</v>
      </c>
      <c r="D22" s="15"/>
    </row>
    <row r="23" spans="1:4">
      <c r="A23" s="6">
        <v>5</v>
      </c>
      <c r="B23" s="8" t="s">
        <v>23</v>
      </c>
      <c r="C23" s="6" t="s">
        <v>8</v>
      </c>
      <c r="D23" s="15">
        <v>0</v>
      </c>
    </row>
    <row r="24" spans="1:4">
      <c r="A24" s="6">
        <v>6</v>
      </c>
      <c r="B24" s="8" t="s">
        <v>24</v>
      </c>
      <c r="C24" s="6" t="s">
        <v>8</v>
      </c>
      <c r="D24" s="15"/>
    </row>
    <row r="25" spans="1:4" ht="15.75" thickBot="1">
      <c r="A25" s="26">
        <v>7</v>
      </c>
      <c r="B25" s="27"/>
      <c r="C25" s="26"/>
      <c r="D25" s="28"/>
    </row>
    <row r="26" spans="1:4" ht="27" thickBot="1">
      <c r="A26" s="22">
        <v>8</v>
      </c>
      <c r="B26" s="23" t="s">
        <v>25</v>
      </c>
      <c r="C26" s="24"/>
      <c r="D26" s="30">
        <v>1800000</v>
      </c>
    </row>
    <row r="27" spans="1:4">
      <c r="A27" s="19">
        <v>9</v>
      </c>
      <c r="B27" s="20"/>
      <c r="C27" s="19"/>
      <c r="D27" s="29"/>
    </row>
    <row r="28" spans="1:4" ht="15.75" thickBot="1">
      <c r="A28" s="26">
        <v>10</v>
      </c>
      <c r="B28" s="27"/>
      <c r="C28" s="26"/>
      <c r="D28" s="28"/>
    </row>
    <row r="29" spans="1:4" ht="16.5" thickBot="1">
      <c r="A29" s="22">
        <v>11</v>
      </c>
      <c r="B29" s="31" t="s">
        <v>131</v>
      </c>
      <c r="C29" s="32"/>
      <c r="D29" s="33">
        <f>SUM(D8,D19,D26)</f>
        <v>29403046</v>
      </c>
    </row>
  </sheetData>
  <mergeCells count="1">
    <mergeCell ref="B3:D3"/>
  </mergeCells>
  <pageMargins left="0.7" right="0.7" top="0.75" bottom="0.75" header="0.3" footer="0.3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C19" sqref="C19"/>
    </sheetView>
  </sheetViews>
  <sheetFormatPr defaultRowHeight="15"/>
  <cols>
    <col min="2" max="2" width="55.42578125" customWidth="1"/>
    <col min="3" max="3" width="42" customWidth="1"/>
    <col min="4" max="4" width="11.140625" bestFit="1" customWidth="1"/>
    <col min="5" max="5" width="13.7109375" bestFit="1" customWidth="1"/>
    <col min="6" max="6" width="9.85546875" bestFit="1" customWidth="1"/>
  </cols>
  <sheetData>
    <row r="1" spans="1:8">
      <c r="A1" s="332" t="s">
        <v>344</v>
      </c>
      <c r="B1" s="332"/>
      <c r="C1" s="332"/>
    </row>
    <row r="2" spans="1:8" s="89" customFormat="1">
      <c r="A2" s="332" t="s">
        <v>28</v>
      </c>
      <c r="B2" s="332"/>
      <c r="C2" s="268" t="s">
        <v>351</v>
      </c>
    </row>
    <row r="3" spans="1:8" ht="15.75" thickBot="1">
      <c r="A3" s="41" t="s">
        <v>26</v>
      </c>
      <c r="B3" s="42"/>
      <c r="C3" s="42"/>
    </row>
    <row r="4" spans="1:8" ht="15.75" thickBot="1">
      <c r="A4" s="339" t="s">
        <v>51</v>
      </c>
      <c r="B4" s="340"/>
      <c r="C4" s="93"/>
    </row>
    <row r="5" spans="1:8" ht="15.75">
      <c r="A5" s="337" t="s">
        <v>52</v>
      </c>
      <c r="B5" s="338"/>
      <c r="C5" s="94">
        <f>SUM(C6:C10)</f>
        <v>206905928</v>
      </c>
      <c r="D5" s="115"/>
      <c r="E5" s="115"/>
      <c r="F5" s="115"/>
      <c r="G5" s="115"/>
      <c r="H5" s="115"/>
    </row>
    <row r="6" spans="1:8">
      <c r="A6" s="43"/>
      <c r="B6" s="43" t="s">
        <v>53</v>
      </c>
      <c r="C6" s="97">
        <f>'3. melléklet'!AB13</f>
        <v>87856040</v>
      </c>
      <c r="D6" s="204"/>
      <c r="E6" s="115"/>
      <c r="F6" s="115"/>
      <c r="G6" s="115"/>
      <c r="H6" s="115"/>
    </row>
    <row r="7" spans="1:8">
      <c r="A7" s="35"/>
      <c r="B7" s="35" t="s">
        <v>54</v>
      </c>
      <c r="C7" s="97">
        <f>'3. melléklet'!AB17</f>
        <v>13316432</v>
      </c>
      <c r="D7" s="115"/>
      <c r="E7" s="115"/>
      <c r="F7" s="115"/>
      <c r="G7" s="115"/>
      <c r="H7" s="115"/>
    </row>
    <row r="8" spans="1:8">
      <c r="A8" s="35"/>
      <c r="B8" s="35" t="s">
        <v>55</v>
      </c>
      <c r="C8" s="215">
        <f>'3. melléklet'!AB53</f>
        <v>88716456</v>
      </c>
      <c r="D8" s="115"/>
      <c r="E8" s="115"/>
      <c r="F8" s="115"/>
      <c r="G8" s="115"/>
      <c r="H8" s="115"/>
    </row>
    <row r="9" spans="1:8">
      <c r="A9" s="35"/>
      <c r="B9" s="35" t="s">
        <v>56</v>
      </c>
      <c r="C9" s="97">
        <f>'3. melléklet'!AB54+'3. melléklet'!AB55</f>
        <v>9001000</v>
      </c>
      <c r="D9" s="115"/>
      <c r="E9" s="115"/>
      <c r="F9" s="115"/>
      <c r="G9" s="115"/>
      <c r="H9" s="115"/>
    </row>
    <row r="10" spans="1:8">
      <c r="A10" s="35"/>
      <c r="B10" s="35" t="s">
        <v>57</v>
      </c>
      <c r="C10" s="97">
        <f xml:space="preserve"> '3. melléklet'!AB56+'3. melléklet'!AB57+'3. melléklet'!AB58+'3. melléklet'!AB59+'3. melléklet'!AB60</f>
        <v>8016000</v>
      </c>
      <c r="D10" s="115"/>
      <c r="E10" s="115"/>
      <c r="F10" s="115"/>
      <c r="G10" s="115"/>
      <c r="H10" s="115"/>
    </row>
    <row r="11" spans="1:8" ht="15.75" thickBot="1">
      <c r="A11" s="42"/>
      <c r="B11" s="42"/>
      <c r="C11" s="97"/>
      <c r="D11" s="115"/>
      <c r="E11" s="115"/>
      <c r="F11" s="115"/>
      <c r="G11" s="115"/>
      <c r="H11" s="115"/>
    </row>
    <row r="12" spans="1:8" ht="16.5" thickBot="1">
      <c r="A12" s="339" t="s">
        <v>59</v>
      </c>
      <c r="B12" s="340"/>
      <c r="C12" s="116">
        <f>SUM(C13,C15)</f>
        <v>163229361</v>
      </c>
      <c r="D12" s="115"/>
      <c r="E12" s="115"/>
      <c r="F12" s="115"/>
      <c r="G12" s="115"/>
      <c r="H12" s="115"/>
    </row>
    <row r="13" spans="1:8">
      <c r="A13" s="337" t="s">
        <v>60</v>
      </c>
      <c r="B13" s="338"/>
      <c r="C13" s="96">
        <f>C14</f>
        <v>36024891</v>
      </c>
      <c r="D13" s="115"/>
      <c r="E13" s="115"/>
      <c r="F13" s="115"/>
      <c r="G13" s="115"/>
      <c r="H13" s="115"/>
    </row>
    <row r="14" spans="1:8">
      <c r="A14" s="35"/>
      <c r="B14" s="35" t="s">
        <v>143</v>
      </c>
      <c r="C14" s="97">
        <f>'3. melléklet'!AB62+'3. melléklet'!AB64</f>
        <v>36024891</v>
      </c>
      <c r="D14" s="115"/>
      <c r="E14" s="115"/>
      <c r="F14" s="115"/>
      <c r="G14" s="115"/>
      <c r="H14" s="115"/>
    </row>
    <row r="15" spans="1:8">
      <c r="A15" s="341" t="s">
        <v>61</v>
      </c>
      <c r="B15" s="342"/>
      <c r="C15" s="97">
        <f>C16</f>
        <v>127204470</v>
      </c>
      <c r="D15" s="115"/>
      <c r="E15" s="115"/>
      <c r="F15" s="115"/>
      <c r="G15" s="115"/>
      <c r="H15" s="115"/>
    </row>
    <row r="16" spans="1:8" ht="15.75" thickBot="1">
      <c r="A16" s="42"/>
      <c r="B16" s="42" t="s">
        <v>62</v>
      </c>
      <c r="C16" s="95">
        <f>'3. melléklet'!AB63</f>
        <v>127204470</v>
      </c>
    </row>
    <row r="17" spans="1:6" ht="15.75" thickBot="1">
      <c r="A17" s="339" t="s">
        <v>63</v>
      </c>
      <c r="B17" s="340"/>
      <c r="C17" s="93">
        <f>C18</f>
        <v>6000000</v>
      </c>
    </row>
    <row r="18" spans="1:6">
      <c r="A18" s="43"/>
      <c r="B18" s="43" t="s">
        <v>64</v>
      </c>
      <c r="C18" s="96">
        <v>6000000</v>
      </c>
    </row>
    <row r="19" spans="1:6">
      <c r="A19" s="35"/>
      <c r="B19" s="35" t="s">
        <v>65</v>
      </c>
      <c r="C19" s="97"/>
    </row>
    <row r="20" spans="1:6">
      <c r="A20" s="35"/>
      <c r="B20" s="45" t="s">
        <v>66</v>
      </c>
      <c r="C20" s="97"/>
    </row>
    <row r="21" spans="1:6" ht="15.75" thickBot="1">
      <c r="A21" s="42"/>
      <c r="B21" s="46" t="s">
        <v>67</v>
      </c>
      <c r="C21" s="95"/>
    </row>
    <row r="22" spans="1:6" ht="15.75" thickBot="1">
      <c r="A22" s="339" t="s">
        <v>68</v>
      </c>
      <c r="B22" s="340"/>
      <c r="C22" s="93">
        <f>SUM(C5,C12,C17)</f>
        <v>376135289</v>
      </c>
      <c r="F22" s="92"/>
    </row>
    <row r="23" spans="1:6" ht="15.75" thickBot="1">
      <c r="A23" s="339" t="s">
        <v>69</v>
      </c>
      <c r="B23" s="340"/>
      <c r="C23" s="93"/>
    </row>
    <row r="24" spans="1:6" ht="15.75" thickBot="1">
      <c r="A24" s="47"/>
      <c r="B24" s="47" t="s">
        <v>287</v>
      </c>
      <c r="C24" s="98">
        <v>1196445</v>
      </c>
    </row>
    <row r="25" spans="1:6" ht="15.75" thickBot="1">
      <c r="A25" s="343" t="s">
        <v>71</v>
      </c>
      <c r="B25" s="344"/>
      <c r="C25" s="99">
        <f>SUM(C22,C24)</f>
        <v>377331734</v>
      </c>
      <c r="E25" s="197"/>
    </row>
    <row r="26" spans="1:6">
      <c r="A26" s="49"/>
      <c r="B26" s="49"/>
      <c r="C26" s="49"/>
    </row>
    <row r="27" spans="1:6">
      <c r="A27" s="49"/>
      <c r="B27" s="49"/>
      <c r="C27" s="228"/>
    </row>
    <row r="28" spans="1:6">
      <c r="A28" s="49"/>
      <c r="B28" s="49"/>
      <c r="C28" s="49"/>
    </row>
    <row r="29" spans="1:6">
      <c r="A29" s="49"/>
      <c r="B29" s="49"/>
      <c r="C29" s="49"/>
    </row>
    <row r="30" spans="1:6">
      <c r="A30" s="49"/>
      <c r="B30" s="49"/>
      <c r="C30" s="49"/>
    </row>
  </sheetData>
  <mergeCells count="11">
    <mergeCell ref="A15:B15"/>
    <mergeCell ref="A17:B17"/>
    <mergeCell ref="A22:B22"/>
    <mergeCell ref="A23:B23"/>
    <mergeCell ref="A25:B25"/>
    <mergeCell ref="A13:B13"/>
    <mergeCell ref="A1:C1"/>
    <mergeCell ref="A2:B2"/>
    <mergeCell ref="A5:B5"/>
    <mergeCell ref="A4:B4"/>
    <mergeCell ref="A12:B1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J9" sqref="J9"/>
    </sheetView>
  </sheetViews>
  <sheetFormatPr defaultRowHeight="15"/>
  <cols>
    <col min="1" max="1" width="23" style="2" customWidth="1"/>
    <col min="2" max="2" width="11" style="2" customWidth="1"/>
    <col min="3" max="3" width="13.5703125" style="2" customWidth="1"/>
    <col min="4" max="4" width="9.5703125" style="2" customWidth="1"/>
    <col min="5" max="5" width="10.7109375" style="2" customWidth="1"/>
    <col min="6" max="6" width="11.42578125" style="2" customWidth="1"/>
    <col min="7" max="7" width="13.85546875" style="2" customWidth="1"/>
    <col min="8" max="16384" width="9.140625" style="2"/>
  </cols>
  <sheetData>
    <row r="1" spans="1:8" ht="15.75" thickBot="1">
      <c r="A1" s="318" t="s">
        <v>339</v>
      </c>
      <c r="B1" s="319"/>
      <c r="C1" s="319"/>
      <c r="D1" s="319"/>
      <c r="E1" s="319"/>
      <c r="F1" s="319"/>
      <c r="G1" s="320"/>
    </row>
    <row r="2" spans="1:8" ht="30" customHeight="1">
      <c r="A2" s="198" t="s">
        <v>268</v>
      </c>
      <c r="B2" s="198" t="s">
        <v>269</v>
      </c>
      <c r="C2" s="198" t="s">
        <v>270</v>
      </c>
      <c r="D2" s="198" t="s">
        <v>271</v>
      </c>
      <c r="E2" s="198" t="s">
        <v>272</v>
      </c>
      <c r="F2" s="198" t="s">
        <v>265</v>
      </c>
      <c r="G2" s="198" t="s">
        <v>266</v>
      </c>
      <c r="H2" s="199"/>
    </row>
    <row r="3" spans="1:8">
      <c r="A3" s="35" t="s">
        <v>211</v>
      </c>
      <c r="B3" s="39">
        <v>206420</v>
      </c>
      <c r="C3" s="200">
        <v>0</v>
      </c>
      <c r="D3" s="200">
        <f>B3*0.195</f>
        <v>40251.9</v>
      </c>
      <c r="E3" s="200">
        <f>(B3+C3)*12</f>
        <v>2477040</v>
      </c>
      <c r="F3" s="200">
        <f>D3*12</f>
        <v>483022.80000000005</v>
      </c>
      <c r="G3" s="200">
        <f t="shared" ref="G3:G8" si="0">SUM(E3:F3)</f>
        <v>2960062.8</v>
      </c>
    </row>
    <row r="4" spans="1:8">
      <c r="A4" s="35" t="s">
        <v>213</v>
      </c>
      <c r="B4" s="39">
        <v>20000</v>
      </c>
      <c r="C4" s="35">
        <v>0</v>
      </c>
      <c r="D4" s="35">
        <f t="shared" ref="D4:D8" si="1">B4*0.195</f>
        <v>3900</v>
      </c>
      <c r="E4" s="35">
        <f>B4*12</f>
        <v>240000</v>
      </c>
      <c r="F4" s="35">
        <f t="shared" ref="F4:F8" si="2">D4*12</f>
        <v>46800</v>
      </c>
      <c r="G4" s="35">
        <f t="shared" si="0"/>
        <v>286800</v>
      </c>
    </row>
    <row r="5" spans="1:8">
      <c r="A5" s="35" t="s">
        <v>215</v>
      </c>
      <c r="B5" s="39">
        <v>20000</v>
      </c>
      <c r="C5" s="35">
        <v>0</v>
      </c>
      <c r="D5" s="35">
        <f t="shared" si="1"/>
        <v>3900</v>
      </c>
      <c r="E5" s="35">
        <f>B5*12</f>
        <v>240000</v>
      </c>
      <c r="F5" s="35">
        <f t="shared" si="2"/>
        <v>46800</v>
      </c>
      <c r="G5" s="35">
        <f t="shared" si="0"/>
        <v>286800</v>
      </c>
    </row>
    <row r="6" spans="1:8">
      <c r="A6" s="35" t="s">
        <v>214</v>
      </c>
      <c r="B6" s="39">
        <v>15000</v>
      </c>
      <c r="C6" s="35">
        <v>0</v>
      </c>
      <c r="D6" s="35">
        <f t="shared" si="1"/>
        <v>2925</v>
      </c>
      <c r="E6" s="35">
        <f>B6*12</f>
        <v>180000</v>
      </c>
      <c r="F6" s="35">
        <f t="shared" si="2"/>
        <v>35100</v>
      </c>
      <c r="G6" s="35">
        <f t="shared" si="0"/>
        <v>215100</v>
      </c>
    </row>
    <row r="7" spans="1:8">
      <c r="A7" s="35" t="s">
        <v>273</v>
      </c>
      <c r="B7" s="39">
        <v>15000</v>
      </c>
      <c r="C7" s="35">
        <v>0</v>
      </c>
      <c r="D7" s="35">
        <f t="shared" si="1"/>
        <v>2925</v>
      </c>
      <c r="E7" s="35">
        <f>B7*12</f>
        <v>180000</v>
      </c>
      <c r="F7" s="35">
        <f t="shared" si="2"/>
        <v>35100</v>
      </c>
      <c r="G7" s="35">
        <f t="shared" si="0"/>
        <v>215100</v>
      </c>
    </row>
    <row r="8" spans="1:8" ht="15.75" thickBot="1">
      <c r="A8" s="42" t="s">
        <v>212</v>
      </c>
      <c r="B8" s="48">
        <v>15000</v>
      </c>
      <c r="C8" s="42">
        <v>0</v>
      </c>
      <c r="D8" s="35">
        <f t="shared" si="1"/>
        <v>2925</v>
      </c>
      <c r="E8" s="42">
        <f>B8*12</f>
        <v>180000</v>
      </c>
      <c r="F8" s="42">
        <f t="shared" si="2"/>
        <v>35100</v>
      </c>
      <c r="G8" s="42">
        <f t="shared" si="0"/>
        <v>215100</v>
      </c>
    </row>
    <row r="9" spans="1:8" ht="15.75" thickBot="1">
      <c r="A9" s="201" t="s">
        <v>274</v>
      </c>
      <c r="B9" s="202">
        <f t="shared" ref="B9:F9" si="3">SUM(B3:B8)</f>
        <v>291420</v>
      </c>
      <c r="C9" s="202">
        <f t="shared" si="3"/>
        <v>0</v>
      </c>
      <c r="D9" s="202">
        <f t="shared" si="3"/>
        <v>56826.9</v>
      </c>
      <c r="E9" s="202">
        <f t="shared" si="3"/>
        <v>3497040</v>
      </c>
      <c r="F9" s="202">
        <f t="shared" si="3"/>
        <v>681922.8</v>
      </c>
      <c r="G9" s="203">
        <f>SUM(G3:G8)</f>
        <v>4178962.8</v>
      </c>
    </row>
    <row r="11" spans="1:8" s="49" customFormat="1">
      <c r="A11" s="321"/>
      <c r="B11" s="321"/>
      <c r="C11" s="321"/>
      <c r="D11" s="321"/>
      <c r="E11" s="321"/>
      <c r="F11" s="321"/>
      <c r="G11" s="321"/>
    </row>
    <row r="12" spans="1:8" s="49" customFormat="1"/>
    <row r="13" spans="1:8" s="49" customFormat="1" ht="30" customHeight="1">
      <c r="A13" s="260"/>
      <c r="B13" s="260"/>
      <c r="C13" s="260"/>
      <c r="D13" s="260"/>
      <c r="E13" s="260"/>
      <c r="F13" s="260"/>
      <c r="G13" s="260"/>
      <c r="H13" s="261"/>
    </row>
    <row r="14" spans="1:8" s="49" customFormat="1">
      <c r="B14" s="262"/>
      <c r="C14" s="262"/>
      <c r="D14" s="262"/>
      <c r="E14" s="262"/>
      <c r="F14" s="262"/>
      <c r="G14" s="262"/>
    </row>
    <row r="15" spans="1:8" s="49" customFormat="1">
      <c r="B15" s="262"/>
      <c r="C15" s="262"/>
      <c r="D15" s="262"/>
      <c r="E15" s="262"/>
      <c r="F15" s="262"/>
      <c r="G15" s="262"/>
    </row>
    <row r="16" spans="1:8" s="49" customFormat="1">
      <c r="B16" s="262"/>
      <c r="C16" s="262"/>
      <c r="D16" s="262"/>
      <c r="E16" s="262"/>
      <c r="F16" s="262"/>
      <c r="G16" s="262"/>
    </row>
    <row r="17" spans="1:7" s="49" customFormat="1">
      <c r="B17" s="262"/>
      <c r="C17" s="262"/>
      <c r="D17" s="262"/>
      <c r="E17" s="262"/>
      <c r="F17" s="262"/>
      <c r="G17" s="262"/>
    </row>
    <row r="18" spans="1:7" s="49" customFormat="1">
      <c r="B18" s="262"/>
      <c r="C18" s="262"/>
      <c r="D18" s="262"/>
      <c r="E18" s="262"/>
      <c r="F18" s="262"/>
      <c r="G18" s="262"/>
    </row>
    <row r="19" spans="1:7" s="49" customFormat="1">
      <c r="B19" s="262"/>
      <c r="C19" s="262"/>
      <c r="D19" s="262"/>
      <c r="E19" s="262"/>
      <c r="F19" s="262"/>
      <c r="G19" s="262"/>
    </row>
    <row r="20" spans="1:7" s="265" customFormat="1">
      <c r="A20" s="263"/>
      <c r="B20" s="264"/>
      <c r="C20" s="264"/>
      <c r="D20" s="264"/>
      <c r="E20" s="264"/>
      <c r="F20" s="264"/>
      <c r="G20" s="264"/>
    </row>
    <row r="21" spans="1:7" s="265" customFormat="1"/>
    <row r="22" spans="1:7" s="265" customFormat="1">
      <c r="A22" s="263"/>
      <c r="B22" s="266"/>
      <c r="C22" s="266"/>
      <c r="D22" s="266"/>
      <c r="E22" s="266"/>
      <c r="F22" s="266"/>
      <c r="G22" s="266"/>
    </row>
  </sheetData>
  <mergeCells count="2">
    <mergeCell ref="A1:G1"/>
    <mergeCell ref="A11:G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5"/>
  <sheetViews>
    <sheetView workbookViewId="0">
      <selection activeCell="D17" sqref="D17"/>
    </sheetView>
  </sheetViews>
  <sheetFormatPr defaultRowHeight="15"/>
  <cols>
    <col min="1" max="1" width="5.42578125" style="2" customWidth="1"/>
    <col min="2" max="2" width="4.85546875" style="2" customWidth="1"/>
    <col min="3" max="3" width="40.42578125" style="2" customWidth="1"/>
    <col min="4" max="4" width="12.28515625" style="174" customWidth="1"/>
    <col min="5" max="5" width="11.7109375" style="2" customWidth="1"/>
    <col min="6" max="6" width="13.140625" style="174" bestFit="1" customWidth="1"/>
    <col min="7" max="7" width="12.42578125" style="2" bestFit="1" customWidth="1"/>
    <col min="8" max="16384" width="9.140625" style="2"/>
  </cols>
  <sheetData>
    <row r="1" spans="1:8">
      <c r="A1" s="3" t="s">
        <v>342</v>
      </c>
      <c r="E1" s="299" t="s">
        <v>146</v>
      </c>
      <c r="F1" s="299"/>
      <c r="H1" s="175"/>
    </row>
    <row r="2" spans="1:8">
      <c r="A2" s="3"/>
      <c r="E2" s="176"/>
      <c r="F2" s="213"/>
      <c r="H2" s="175"/>
    </row>
    <row r="3" spans="1:8">
      <c r="A3" s="3"/>
      <c r="F3" s="213"/>
      <c r="G3" s="176"/>
      <c r="H3" s="175"/>
    </row>
    <row r="4" spans="1:8" ht="18.75">
      <c r="A4" s="322" t="s">
        <v>349</v>
      </c>
      <c r="B4" s="322"/>
      <c r="C4" s="322"/>
      <c r="D4" s="322"/>
      <c r="E4" s="322"/>
      <c r="F4" s="322"/>
      <c r="G4" s="176"/>
      <c r="H4" s="175"/>
    </row>
    <row r="5" spans="1:8" ht="18.75">
      <c r="A5" s="177"/>
      <c r="B5" s="177"/>
      <c r="C5" s="177"/>
      <c r="D5" s="178"/>
      <c r="E5" s="177"/>
      <c r="F5" s="178"/>
      <c r="G5" s="176"/>
      <c r="H5" s="175"/>
    </row>
    <row r="6" spans="1:8">
      <c r="A6" s="3"/>
      <c r="F6" s="213"/>
      <c r="G6" s="176"/>
      <c r="H6" s="175"/>
    </row>
    <row r="7" spans="1:8">
      <c r="B7" s="179"/>
      <c r="C7" s="323" t="s">
        <v>216</v>
      </c>
      <c r="D7" s="324"/>
      <c r="E7" s="325"/>
      <c r="F7" s="214"/>
      <c r="G7" s="180"/>
    </row>
    <row r="8" spans="1:8">
      <c r="B8" s="179" t="s">
        <v>217</v>
      </c>
      <c r="C8" s="181" t="s">
        <v>218</v>
      </c>
      <c r="D8" s="182" t="s">
        <v>219</v>
      </c>
      <c r="E8" s="183" t="s">
        <v>220</v>
      </c>
      <c r="F8" s="182" t="s">
        <v>286</v>
      </c>
      <c r="G8" s="184"/>
    </row>
    <row r="9" spans="1:8">
      <c r="B9" s="179" t="s">
        <v>221</v>
      </c>
      <c r="C9" s="185" t="s">
        <v>222</v>
      </c>
      <c r="D9" s="186">
        <v>0</v>
      </c>
      <c r="E9" s="187">
        <v>0</v>
      </c>
      <c r="F9" s="186"/>
      <c r="G9" s="184"/>
      <c r="H9" s="188"/>
    </row>
    <row r="10" spans="1:8">
      <c r="B10" s="179" t="s">
        <v>223</v>
      </c>
      <c r="C10" s="185" t="s">
        <v>357</v>
      </c>
      <c r="D10" s="186">
        <v>140000</v>
      </c>
      <c r="E10" s="281">
        <f>D10*0.27</f>
        <v>37800</v>
      </c>
      <c r="F10" s="186">
        <f>D10+E10</f>
        <v>177800</v>
      </c>
      <c r="G10" s="184"/>
    </row>
    <row r="11" spans="1:8">
      <c r="B11" s="179" t="s">
        <v>225</v>
      </c>
      <c r="C11" s="185" t="s">
        <v>226</v>
      </c>
      <c r="D11" s="189">
        <v>0</v>
      </c>
      <c r="E11" s="187">
        <v>0</v>
      </c>
      <c r="F11" s="186">
        <f t="shared" ref="F11:F24" si="0">D11+E11</f>
        <v>0</v>
      </c>
      <c r="G11" s="184"/>
    </row>
    <row r="12" spans="1:8">
      <c r="B12" s="179" t="s">
        <v>227</v>
      </c>
      <c r="C12" s="185" t="s">
        <v>282</v>
      </c>
      <c r="D12" s="190">
        <v>0</v>
      </c>
      <c r="E12" s="187">
        <v>0</v>
      </c>
      <c r="F12" s="186">
        <f t="shared" si="0"/>
        <v>0</v>
      </c>
      <c r="G12" s="184"/>
    </row>
    <row r="13" spans="1:8" ht="39">
      <c r="B13" s="179" t="s">
        <v>228</v>
      </c>
      <c r="C13" s="212" t="s">
        <v>285</v>
      </c>
      <c r="D13" s="190">
        <v>2835000</v>
      </c>
      <c r="E13" s="281">
        <f>D13*0.27</f>
        <v>765450</v>
      </c>
      <c r="F13" s="186">
        <f t="shared" si="0"/>
        <v>3600450</v>
      </c>
      <c r="G13" s="184"/>
    </row>
    <row r="14" spans="1:8">
      <c r="B14" s="179" t="s">
        <v>229</v>
      </c>
      <c r="C14" s="185" t="s">
        <v>283</v>
      </c>
      <c r="D14" s="191">
        <v>2325000</v>
      </c>
      <c r="E14" s="281">
        <f>D14*0.27</f>
        <v>627750</v>
      </c>
      <c r="F14" s="186">
        <f t="shared" si="0"/>
        <v>2952750</v>
      </c>
      <c r="G14" s="184"/>
    </row>
    <row r="15" spans="1:8">
      <c r="B15" s="179" t="s">
        <v>230</v>
      </c>
      <c r="C15" s="185" t="s">
        <v>237</v>
      </c>
      <c r="D15" s="191">
        <v>100000</v>
      </c>
      <c r="E15" s="281">
        <f t="shared" ref="E15:E19" si="1">D15*0.27</f>
        <v>27000</v>
      </c>
      <c r="F15" s="186">
        <f t="shared" si="0"/>
        <v>127000</v>
      </c>
      <c r="G15" s="184"/>
    </row>
    <row r="16" spans="1:8">
      <c r="B16" s="179" t="s">
        <v>231</v>
      </c>
      <c r="C16" s="192" t="s">
        <v>241</v>
      </c>
      <c r="D16" s="191">
        <v>8500000</v>
      </c>
      <c r="E16" s="281">
        <f t="shared" si="1"/>
        <v>2295000</v>
      </c>
      <c r="F16" s="186">
        <f t="shared" si="0"/>
        <v>10795000</v>
      </c>
      <c r="G16" s="184"/>
    </row>
    <row r="17" spans="2:7">
      <c r="B17" s="179" t="s">
        <v>232</v>
      </c>
      <c r="C17" s="185" t="s">
        <v>246</v>
      </c>
      <c r="D17" s="186">
        <v>45000</v>
      </c>
      <c r="E17" s="281">
        <f t="shared" si="1"/>
        <v>12150</v>
      </c>
      <c r="F17" s="186">
        <f t="shared" si="0"/>
        <v>57150</v>
      </c>
      <c r="G17" s="184"/>
    </row>
    <row r="18" spans="2:7">
      <c r="B18" s="179" t="s">
        <v>233</v>
      </c>
      <c r="C18" s="185" t="s">
        <v>284</v>
      </c>
      <c r="D18" s="186">
        <v>174000</v>
      </c>
      <c r="E18" s="281">
        <f t="shared" si="1"/>
        <v>46980</v>
      </c>
      <c r="F18" s="186">
        <f t="shared" si="0"/>
        <v>220980</v>
      </c>
      <c r="G18" s="184"/>
    </row>
    <row r="19" spans="2:7">
      <c r="B19" s="179"/>
      <c r="C19" s="185"/>
      <c r="D19" s="186"/>
      <c r="E19" s="281">
        <f t="shared" si="1"/>
        <v>0</v>
      </c>
      <c r="F19" s="186">
        <f t="shared" si="0"/>
        <v>0</v>
      </c>
      <c r="G19" s="184"/>
    </row>
    <row r="20" spans="2:7">
      <c r="B20" s="179"/>
      <c r="C20" s="185"/>
      <c r="D20" s="186"/>
      <c r="E20" s="187"/>
      <c r="F20" s="186">
        <f t="shared" si="0"/>
        <v>0</v>
      </c>
      <c r="G20" s="184"/>
    </row>
    <row r="21" spans="2:7">
      <c r="B21" s="179"/>
      <c r="C21" s="181" t="s">
        <v>204</v>
      </c>
      <c r="D21" s="194">
        <f>SUM(D9:D20)</f>
        <v>14119000</v>
      </c>
      <c r="E21" s="194">
        <f>SUM(E9:E20)</f>
        <v>3812130</v>
      </c>
      <c r="F21" s="182">
        <f t="shared" si="0"/>
        <v>17931130</v>
      </c>
      <c r="G21" s="184"/>
    </row>
    <row r="22" spans="2:7">
      <c r="B22" s="179"/>
      <c r="C22" s="181"/>
      <c r="D22" s="195"/>
      <c r="E22" s="187"/>
      <c r="F22" s="186"/>
      <c r="G22" s="184"/>
    </row>
    <row r="23" spans="2:7">
      <c r="B23" s="179"/>
      <c r="C23" s="181"/>
      <c r="D23" s="182"/>
      <c r="E23" s="187"/>
      <c r="F23" s="186"/>
      <c r="G23" s="184"/>
    </row>
    <row r="24" spans="2:7">
      <c r="B24" s="179"/>
      <c r="C24" s="181" t="s">
        <v>258</v>
      </c>
      <c r="D24" s="196">
        <f>SUM(D21)-(D23)</f>
        <v>14119000</v>
      </c>
      <c r="E24" s="196">
        <f>SUM(E21)-(E23)</f>
        <v>3812130</v>
      </c>
      <c r="F24" s="182">
        <f t="shared" si="0"/>
        <v>17931130</v>
      </c>
      <c r="G24" s="197"/>
    </row>
    <row r="25" spans="2:7">
      <c r="B25" s="179"/>
      <c r="C25" s="193"/>
      <c r="D25" s="186"/>
      <c r="E25" s="187"/>
      <c r="F25" s="186"/>
    </row>
  </sheetData>
  <mergeCells count="3">
    <mergeCell ref="E1:F1"/>
    <mergeCell ref="A4:F4"/>
    <mergeCell ref="C7:E7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83"/>
  <sheetViews>
    <sheetView view="pageBreakPreview" zoomScaleSheetLayoutView="100" workbookViewId="0">
      <pane xSplit="3" ySplit="4" topLeftCell="H56" activePane="bottomRight" state="frozen"/>
      <selection pane="topRight" activeCell="D1" sqref="D1"/>
      <selection pane="bottomLeft" activeCell="A12" sqref="A12"/>
      <selection pane="bottomRight" activeCell="E76" sqref="E76"/>
    </sheetView>
  </sheetViews>
  <sheetFormatPr defaultRowHeight="12.75"/>
  <cols>
    <col min="1" max="1" width="0.7109375" style="122" customWidth="1"/>
    <col min="2" max="2" width="3.140625" style="122" customWidth="1"/>
    <col min="3" max="3" width="26.42578125" style="123" customWidth="1"/>
    <col min="4" max="5" width="15.42578125" style="124" customWidth="1"/>
    <col min="6" max="6" width="15.140625" style="122" customWidth="1"/>
    <col min="7" max="8" width="14" style="122" customWidth="1"/>
    <col min="9" max="9" width="15.42578125" style="122" customWidth="1"/>
    <col min="10" max="10" width="12.5703125" style="122" customWidth="1"/>
    <col min="11" max="11" width="14.7109375" style="122" customWidth="1"/>
    <col min="12" max="12" width="13.28515625" style="122" customWidth="1"/>
    <col min="13" max="14" width="13" style="122" customWidth="1"/>
    <col min="15" max="15" width="14.5703125" style="122" customWidth="1"/>
    <col min="16" max="16" width="12.140625" style="122" customWidth="1"/>
    <col min="17" max="17" width="14" style="122" customWidth="1"/>
    <col min="18" max="18" width="15" style="122" customWidth="1"/>
    <col min="19" max="19" width="12.85546875" style="125" customWidth="1"/>
    <col min="20" max="20" width="12.85546875" style="126" customWidth="1"/>
    <col min="21" max="21" width="11.42578125" style="122" customWidth="1"/>
    <col min="22" max="22" width="13.7109375" style="122" customWidth="1"/>
    <col min="23" max="23" width="13.28515625" style="122" customWidth="1"/>
    <col min="24" max="24" width="10.85546875" style="122" customWidth="1"/>
    <col min="25" max="25" width="11.7109375" style="122" customWidth="1"/>
    <col min="26" max="26" width="13.85546875" style="127" customWidth="1"/>
    <col min="27" max="27" width="13.85546875" style="126" customWidth="1"/>
    <col min="28" max="28" width="14.85546875" style="216" customWidth="1"/>
    <col min="29" max="29" width="14.28515625" style="122" bestFit="1" customWidth="1"/>
    <col min="30" max="16384" width="9.140625" style="122"/>
  </cols>
  <sheetData>
    <row r="1" spans="1:29" s="2" customFormat="1" ht="15">
      <c r="A1" s="326" t="s">
        <v>343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7"/>
      <c r="S1" s="119"/>
      <c r="T1" s="120"/>
      <c r="U1" s="121"/>
      <c r="V1" s="121"/>
      <c r="W1" s="121"/>
      <c r="X1" s="121"/>
      <c r="Y1" s="121"/>
      <c r="Z1" s="328" t="s">
        <v>146</v>
      </c>
      <c r="AA1" s="328"/>
      <c r="AB1" s="328"/>
    </row>
    <row r="2" spans="1:29" ht="13.5" customHeight="1">
      <c r="A2" s="329" t="s">
        <v>350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</row>
    <row r="3" spans="1:29" ht="10.5" customHeight="1"/>
    <row r="4" spans="1:29" s="270" customFormat="1" ht="70.5" customHeight="1">
      <c r="B4" s="271"/>
      <c r="C4" s="272"/>
      <c r="D4" s="273" t="s">
        <v>147</v>
      </c>
      <c r="E4" s="273" t="s">
        <v>277</v>
      </c>
      <c r="F4" s="274" t="s">
        <v>148</v>
      </c>
      <c r="G4" s="275" t="s">
        <v>149</v>
      </c>
      <c r="H4" s="275" t="s">
        <v>150</v>
      </c>
      <c r="I4" s="274" t="s">
        <v>359</v>
      </c>
      <c r="J4" s="274" t="s">
        <v>260</v>
      </c>
      <c r="K4" s="274" t="s">
        <v>151</v>
      </c>
      <c r="L4" s="274" t="s">
        <v>152</v>
      </c>
      <c r="M4" s="274" t="s">
        <v>153</v>
      </c>
      <c r="N4" s="274" t="s">
        <v>358</v>
      </c>
      <c r="O4" s="274" t="s">
        <v>262</v>
      </c>
      <c r="P4" s="275" t="s">
        <v>154</v>
      </c>
      <c r="Q4" s="275" t="s">
        <v>155</v>
      </c>
      <c r="R4" s="276" t="s">
        <v>261</v>
      </c>
      <c r="S4" s="274" t="s">
        <v>364</v>
      </c>
      <c r="T4" s="274" t="s">
        <v>362</v>
      </c>
      <c r="U4" s="274" t="s">
        <v>363</v>
      </c>
      <c r="V4" s="277" t="s">
        <v>365</v>
      </c>
      <c r="W4" s="274" t="s">
        <v>281</v>
      </c>
      <c r="X4" s="274" t="s">
        <v>280</v>
      </c>
      <c r="Y4" s="274" t="s">
        <v>156</v>
      </c>
      <c r="Z4" s="274" t="s">
        <v>361</v>
      </c>
      <c r="AA4" s="274" t="s">
        <v>157</v>
      </c>
      <c r="AB4" s="278" t="s">
        <v>158</v>
      </c>
    </row>
    <row r="5" spans="1:29">
      <c r="B5" s="133" t="s">
        <v>217</v>
      </c>
      <c r="C5" s="224" t="s">
        <v>159</v>
      </c>
      <c r="D5" s="134"/>
      <c r="E5" s="134"/>
      <c r="F5" s="131">
        <v>10890500</v>
      </c>
      <c r="G5" s="132"/>
      <c r="H5" s="135"/>
      <c r="I5" s="135"/>
      <c r="J5" s="131">
        <v>3993196</v>
      </c>
      <c r="K5" s="135"/>
      <c r="L5" s="131">
        <v>2325500</v>
      </c>
      <c r="M5" s="131">
        <v>2325500</v>
      </c>
      <c r="N5" s="131"/>
      <c r="O5" s="136">
        <v>42944830</v>
      </c>
      <c r="P5" s="132"/>
      <c r="Q5" s="135"/>
      <c r="R5" s="135"/>
      <c r="S5" s="135">
        <v>3420000</v>
      </c>
      <c r="T5" s="135"/>
      <c r="U5" s="135"/>
      <c r="V5" s="135">
        <f>13704000-3420000</f>
        <v>10284000</v>
      </c>
      <c r="W5" s="135"/>
      <c r="X5" s="135"/>
      <c r="Y5" s="135"/>
      <c r="Z5" s="135"/>
      <c r="AA5" s="135"/>
      <c r="AB5" s="217">
        <f>SUM(D5:AA5)</f>
        <v>76183526</v>
      </c>
    </row>
    <row r="6" spans="1:29">
      <c r="B6" s="133" t="s">
        <v>221</v>
      </c>
      <c r="C6" s="150" t="s">
        <v>264</v>
      </c>
      <c r="D6" s="134"/>
      <c r="E6" s="134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217">
        <f>SUM(D6:AA6)</f>
        <v>0</v>
      </c>
    </row>
    <row r="7" spans="1:29">
      <c r="B7" s="133" t="s">
        <v>223</v>
      </c>
      <c r="C7" s="150" t="s">
        <v>160</v>
      </c>
      <c r="D7" s="134">
        <v>5504784</v>
      </c>
      <c r="E7" s="134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217">
        <f t="shared" ref="AB7:AB12" si="0">SUM(D7:AA7)</f>
        <v>5504784</v>
      </c>
    </row>
    <row r="8" spans="1:29">
      <c r="B8" s="133" t="s">
        <v>224</v>
      </c>
      <c r="C8" s="150" t="s">
        <v>161</v>
      </c>
      <c r="D8" s="134">
        <v>3497040</v>
      </c>
      <c r="E8" s="134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217">
        <f t="shared" si="0"/>
        <v>3497040</v>
      </c>
    </row>
    <row r="9" spans="1:29">
      <c r="B9" s="133" t="s">
        <v>225</v>
      </c>
      <c r="C9" s="150" t="s">
        <v>162</v>
      </c>
      <c r="D9" s="134"/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217">
        <f t="shared" si="0"/>
        <v>0</v>
      </c>
    </row>
    <row r="10" spans="1:29">
      <c r="B10" s="133" t="s">
        <v>227</v>
      </c>
      <c r="C10" s="150" t="s">
        <v>163</v>
      </c>
      <c r="D10" s="134">
        <v>131560</v>
      </c>
      <c r="E10" s="134"/>
      <c r="F10" s="135">
        <v>328900</v>
      </c>
      <c r="G10" s="135"/>
      <c r="H10" s="135"/>
      <c r="I10" s="137"/>
      <c r="J10" s="135">
        <v>98670</v>
      </c>
      <c r="K10" s="135"/>
      <c r="L10" s="135">
        <v>65780</v>
      </c>
      <c r="M10" s="135">
        <v>65780</v>
      </c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217">
        <f>SUM(D10:AA10)</f>
        <v>690690</v>
      </c>
    </row>
    <row r="11" spans="1:29">
      <c r="B11" s="133"/>
      <c r="C11" s="150" t="s">
        <v>317</v>
      </c>
      <c r="D11" s="134">
        <v>1500000</v>
      </c>
      <c r="E11" s="134"/>
      <c r="F11" s="135"/>
      <c r="G11" s="135"/>
      <c r="H11" s="135"/>
      <c r="I11" s="137"/>
      <c r="J11" s="135"/>
      <c r="K11" s="135">
        <v>480000</v>
      </c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217">
        <f t="shared" si="0"/>
        <v>1980000</v>
      </c>
    </row>
    <row r="12" spans="1:29">
      <c r="B12" s="133" t="s">
        <v>228</v>
      </c>
      <c r="C12" s="150" t="s">
        <v>164</v>
      </c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217">
        <f t="shared" si="0"/>
        <v>0</v>
      </c>
      <c r="AC12" s="227"/>
    </row>
    <row r="13" spans="1:29" ht="27.75" customHeight="1">
      <c r="B13" s="133" t="s">
        <v>229</v>
      </c>
      <c r="C13" s="226" t="s">
        <v>165</v>
      </c>
      <c r="D13" s="138">
        <f>SUM(D5:D12)</f>
        <v>10633384</v>
      </c>
      <c r="E13" s="138">
        <f>SUM(E5:E12)</f>
        <v>0</v>
      </c>
      <c r="F13" s="138">
        <f>SUM(F5:F12)</f>
        <v>11219400</v>
      </c>
      <c r="G13" s="138">
        <f>SUM(G5:G12)</f>
        <v>0</v>
      </c>
      <c r="H13" s="139">
        <f t="shared" ref="H13:O13" si="1">SUM(H5:H12)</f>
        <v>0</v>
      </c>
      <c r="I13" s="138">
        <f t="shared" si="1"/>
        <v>0</v>
      </c>
      <c r="J13" s="138">
        <f t="shared" si="1"/>
        <v>4091866</v>
      </c>
      <c r="K13" s="138">
        <f t="shared" si="1"/>
        <v>480000</v>
      </c>
      <c r="L13" s="138">
        <f t="shared" si="1"/>
        <v>2391280</v>
      </c>
      <c r="M13" s="138">
        <f t="shared" si="1"/>
        <v>2391280</v>
      </c>
      <c r="N13" s="138">
        <f t="shared" si="1"/>
        <v>0</v>
      </c>
      <c r="O13" s="138">
        <f t="shared" si="1"/>
        <v>42944830</v>
      </c>
      <c r="P13" s="140">
        <f>SUM(P6:P12)</f>
        <v>0</v>
      </c>
      <c r="Q13" s="140">
        <f t="shared" ref="Q13:Z13" si="2">SUM(Q5:Q12)</f>
        <v>0</v>
      </c>
      <c r="R13" s="140">
        <f t="shared" si="2"/>
        <v>0</v>
      </c>
      <c r="S13" s="140">
        <f t="shared" si="2"/>
        <v>3420000</v>
      </c>
      <c r="T13" s="140">
        <f t="shared" si="2"/>
        <v>0</v>
      </c>
      <c r="U13" s="140">
        <f t="shared" si="2"/>
        <v>0</v>
      </c>
      <c r="V13" s="140">
        <f t="shared" si="2"/>
        <v>10284000</v>
      </c>
      <c r="W13" s="140"/>
      <c r="X13" s="140"/>
      <c r="Y13" s="140"/>
      <c r="Z13" s="140">
        <f t="shared" si="2"/>
        <v>0</v>
      </c>
      <c r="AA13" s="140"/>
      <c r="AB13" s="218">
        <f>SUM(D13:AA13)</f>
        <v>87856040</v>
      </c>
      <c r="AC13" s="141"/>
    </row>
    <row r="14" spans="1:29" s="144" customFormat="1" ht="14.25" customHeight="1">
      <c r="B14" s="133" t="s">
        <v>230</v>
      </c>
      <c r="C14" s="225" t="s">
        <v>346</v>
      </c>
      <c r="D14" s="134">
        <f>681923+292500+38440+1073433</f>
        <v>2086296</v>
      </c>
      <c r="E14" s="134"/>
      <c r="F14" s="134">
        <f>2123648+96100</f>
        <v>2219748</v>
      </c>
      <c r="G14" s="142"/>
      <c r="H14" s="101"/>
      <c r="I14" s="101"/>
      <c r="J14" s="101">
        <f>778673+28830</f>
        <v>807503</v>
      </c>
      <c r="K14" s="101">
        <v>93600</v>
      </c>
      <c r="L14" s="101">
        <f>453472+19220</f>
        <v>472692</v>
      </c>
      <c r="M14" s="101">
        <v>472692</v>
      </c>
      <c r="N14" s="101"/>
      <c r="O14" s="101">
        <v>4187121</v>
      </c>
      <c r="P14" s="101"/>
      <c r="Q14" s="101"/>
      <c r="R14" s="101"/>
      <c r="S14" s="101">
        <v>666900</v>
      </c>
      <c r="T14" s="101"/>
      <c r="U14" s="101"/>
      <c r="V14" s="101">
        <f>2672280-666900</f>
        <v>2005380</v>
      </c>
      <c r="W14" s="101"/>
      <c r="X14" s="101"/>
      <c r="Y14" s="101"/>
      <c r="Z14" s="101"/>
      <c r="AA14" s="101"/>
      <c r="AB14" s="217">
        <f>SUM(D14:AA14)</f>
        <v>13011932</v>
      </c>
      <c r="AC14" s="143"/>
    </row>
    <row r="15" spans="1:29" s="144" customFormat="1" ht="14.25" customHeight="1">
      <c r="B15" s="133" t="s">
        <v>231</v>
      </c>
      <c r="C15" s="225" t="s">
        <v>166</v>
      </c>
      <c r="D15" s="206">
        <v>28000</v>
      </c>
      <c r="E15" s="206"/>
      <c r="F15" s="207">
        <v>70000</v>
      </c>
      <c r="G15" s="207"/>
      <c r="H15" s="101"/>
      <c r="I15" s="208"/>
      <c r="J15" s="101">
        <v>21000</v>
      </c>
      <c r="K15" s="101"/>
      <c r="L15" s="101">
        <v>14000</v>
      </c>
      <c r="M15" s="101">
        <v>14000</v>
      </c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217">
        <f t="shared" ref="AB15:AB17" si="3">SUM(D15:AA15)</f>
        <v>147000</v>
      </c>
      <c r="AC15" s="143"/>
    </row>
    <row r="16" spans="1:29">
      <c r="B16" s="133" t="s">
        <v>232</v>
      </c>
      <c r="C16" s="150" t="s">
        <v>167</v>
      </c>
      <c r="D16" s="206">
        <v>30000</v>
      </c>
      <c r="E16" s="206"/>
      <c r="F16" s="207">
        <v>75000</v>
      </c>
      <c r="G16" s="207"/>
      <c r="H16" s="101"/>
      <c r="I16" s="208"/>
      <c r="J16" s="101">
        <v>22500</v>
      </c>
      <c r="K16" s="101"/>
      <c r="L16" s="101">
        <v>15000</v>
      </c>
      <c r="M16" s="101">
        <v>15000</v>
      </c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217">
        <f>SUM(D16:AA16)</f>
        <v>157500</v>
      </c>
    </row>
    <row r="17" spans="2:28" s="128" customFormat="1">
      <c r="B17" s="133" t="s">
        <v>233</v>
      </c>
      <c r="C17" s="165" t="s">
        <v>168</v>
      </c>
      <c r="D17" s="145">
        <f t="shared" ref="D17:Z17" si="4">SUM(D14:D16)</f>
        <v>2144296</v>
      </c>
      <c r="E17" s="145">
        <f t="shared" si="4"/>
        <v>0</v>
      </c>
      <c r="F17" s="205">
        <f t="shared" si="4"/>
        <v>2364748</v>
      </c>
      <c r="G17" s="146">
        <f t="shared" si="4"/>
        <v>0</v>
      </c>
      <c r="H17" s="146">
        <f t="shared" si="4"/>
        <v>0</v>
      </c>
      <c r="I17" s="146">
        <f t="shared" si="4"/>
        <v>0</v>
      </c>
      <c r="J17" s="146">
        <f t="shared" si="4"/>
        <v>851003</v>
      </c>
      <c r="K17" s="146">
        <f>SUM(K14:K16)</f>
        <v>93600</v>
      </c>
      <c r="L17" s="146">
        <f t="shared" si="4"/>
        <v>501692</v>
      </c>
      <c r="M17" s="146">
        <f t="shared" si="4"/>
        <v>501692</v>
      </c>
      <c r="N17" s="146">
        <f t="shared" si="4"/>
        <v>0</v>
      </c>
      <c r="O17" s="146">
        <f t="shared" si="4"/>
        <v>4187121</v>
      </c>
      <c r="P17" s="146">
        <f t="shared" si="4"/>
        <v>0</v>
      </c>
      <c r="Q17" s="146">
        <f t="shared" si="4"/>
        <v>0</v>
      </c>
      <c r="R17" s="146">
        <f t="shared" si="4"/>
        <v>0</v>
      </c>
      <c r="S17" s="146">
        <f t="shared" si="4"/>
        <v>666900</v>
      </c>
      <c r="T17" s="146">
        <f t="shared" si="4"/>
        <v>0</v>
      </c>
      <c r="U17" s="146">
        <f t="shared" si="4"/>
        <v>0</v>
      </c>
      <c r="V17" s="146">
        <f t="shared" si="4"/>
        <v>2005380</v>
      </c>
      <c r="W17" s="146"/>
      <c r="X17" s="146"/>
      <c r="Y17" s="146"/>
      <c r="Z17" s="146">
        <f t="shared" si="4"/>
        <v>0</v>
      </c>
      <c r="AA17" s="146"/>
      <c r="AB17" s="217">
        <f t="shared" si="3"/>
        <v>13316432</v>
      </c>
    </row>
    <row r="18" spans="2:28">
      <c r="B18" s="133" t="s">
        <v>234</v>
      </c>
      <c r="C18" s="129" t="s">
        <v>169</v>
      </c>
      <c r="D18" s="147"/>
      <c r="E18" s="147"/>
      <c r="F18" s="148"/>
      <c r="G18" s="148"/>
      <c r="H18" s="148"/>
      <c r="I18" s="147"/>
      <c r="J18" s="148">
        <v>115000</v>
      </c>
      <c r="K18" s="148">
        <v>100000</v>
      </c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217">
        <f>SUM(D18:AA18)</f>
        <v>215000</v>
      </c>
    </row>
    <row r="19" spans="2:28">
      <c r="B19" s="133" t="s">
        <v>235</v>
      </c>
      <c r="C19" s="129" t="s">
        <v>170</v>
      </c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217">
        <f t="shared" ref="AB19:AB53" si="5">SUM(D19:AA19)</f>
        <v>0</v>
      </c>
    </row>
    <row r="20" spans="2:28">
      <c r="B20" s="133" t="s">
        <v>236</v>
      </c>
      <c r="C20" s="129" t="s">
        <v>171</v>
      </c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217">
        <f t="shared" si="5"/>
        <v>0</v>
      </c>
    </row>
    <row r="21" spans="2:28">
      <c r="B21" s="133" t="s">
        <v>238</v>
      </c>
      <c r="C21" s="129" t="s">
        <v>172</v>
      </c>
      <c r="D21" s="147">
        <v>50000</v>
      </c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217">
        <f t="shared" si="5"/>
        <v>50000</v>
      </c>
    </row>
    <row r="22" spans="2:28">
      <c r="B22" s="133" t="s">
        <v>239</v>
      </c>
      <c r="C22" s="129" t="s">
        <v>173</v>
      </c>
      <c r="D22" s="147">
        <v>50000</v>
      </c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217">
        <f t="shared" si="5"/>
        <v>50000</v>
      </c>
    </row>
    <row r="23" spans="2:28">
      <c r="B23" s="133" t="s">
        <v>240</v>
      </c>
      <c r="C23" s="129" t="s">
        <v>174</v>
      </c>
      <c r="D23" s="147">
        <v>80000</v>
      </c>
      <c r="E23" s="147"/>
      <c r="F23" s="147"/>
      <c r="G23" s="147"/>
      <c r="H23" s="147"/>
      <c r="I23" s="148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217">
        <f t="shared" si="5"/>
        <v>80000</v>
      </c>
    </row>
    <row r="24" spans="2:28">
      <c r="B24" s="133" t="s">
        <v>242</v>
      </c>
      <c r="C24" s="129" t="s">
        <v>175</v>
      </c>
      <c r="D24" s="147">
        <v>890000</v>
      </c>
      <c r="E24" s="147"/>
      <c r="F24" s="148"/>
      <c r="G24" s="148"/>
      <c r="H24" s="147"/>
      <c r="I24" s="147"/>
      <c r="J24" s="147">
        <v>30000</v>
      </c>
      <c r="K24" s="147">
        <v>25000</v>
      </c>
      <c r="L24" s="147"/>
      <c r="M24" s="147">
        <v>25000</v>
      </c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217">
        <f t="shared" si="5"/>
        <v>970000</v>
      </c>
    </row>
    <row r="25" spans="2:28">
      <c r="B25" s="133" t="s">
        <v>243</v>
      </c>
      <c r="C25" s="129" t="s">
        <v>176</v>
      </c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223"/>
      <c r="S25" s="147"/>
      <c r="T25" s="147"/>
      <c r="U25" s="147"/>
      <c r="V25" s="147"/>
      <c r="W25" s="147"/>
      <c r="X25" s="147"/>
      <c r="Y25" s="147"/>
      <c r="Z25" s="147"/>
      <c r="AA25" s="147"/>
      <c r="AB25" s="217">
        <f t="shared" si="5"/>
        <v>0</v>
      </c>
    </row>
    <row r="26" spans="2:28" ht="15">
      <c r="B26" s="133" t="s">
        <v>244</v>
      </c>
      <c r="C26" s="149" t="s">
        <v>177</v>
      </c>
      <c r="D26" s="147">
        <v>450000</v>
      </c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>
        <f>92283+606173+214955+118110+511811</f>
        <v>1543332</v>
      </c>
      <c r="P26" s="147"/>
      <c r="Q26" s="147"/>
      <c r="R26" s="209"/>
      <c r="S26" s="147"/>
      <c r="T26" s="147"/>
      <c r="U26" s="147"/>
      <c r="V26" s="147"/>
      <c r="W26" s="147"/>
      <c r="X26" s="147"/>
      <c r="Y26" s="147"/>
      <c r="Z26" s="147"/>
      <c r="AA26" s="147"/>
      <c r="AB26" s="217">
        <f t="shared" si="5"/>
        <v>1993332</v>
      </c>
    </row>
    <row r="27" spans="2:28" ht="15">
      <c r="B27" s="133" t="s">
        <v>245</v>
      </c>
      <c r="C27" s="129" t="s">
        <v>178</v>
      </c>
      <c r="D27" s="147">
        <v>100000</v>
      </c>
      <c r="E27" s="147"/>
      <c r="F27" s="147">
        <v>150000</v>
      </c>
      <c r="G27" s="147"/>
      <c r="H27" s="147"/>
      <c r="I27" s="147"/>
      <c r="J27" s="147">
        <v>45000</v>
      </c>
      <c r="K27" s="147"/>
      <c r="L27" s="148">
        <v>30000</v>
      </c>
      <c r="M27" s="147">
        <v>30000</v>
      </c>
      <c r="N27" s="147"/>
      <c r="O27" s="147">
        <f>143719+312158+283326</f>
        <v>739203</v>
      </c>
      <c r="P27" s="147"/>
      <c r="Q27" s="147"/>
      <c r="R27" s="209"/>
      <c r="S27" s="147"/>
      <c r="T27" s="147"/>
      <c r="U27" s="147"/>
      <c r="V27" s="147"/>
      <c r="W27" s="147"/>
      <c r="X27" s="147"/>
      <c r="Y27" s="147"/>
      <c r="Z27" s="147"/>
      <c r="AA27" s="147"/>
      <c r="AB27" s="217">
        <f t="shared" si="5"/>
        <v>1094203</v>
      </c>
    </row>
    <row r="28" spans="2:28" ht="15">
      <c r="B28" s="133" t="s">
        <v>247</v>
      </c>
      <c r="C28" s="150" t="s">
        <v>179</v>
      </c>
      <c r="D28" s="148">
        <v>650000</v>
      </c>
      <c r="E28" s="148"/>
      <c r="F28" s="148"/>
      <c r="G28" s="148"/>
      <c r="H28" s="148"/>
      <c r="I28" s="148"/>
      <c r="J28" s="148">
        <v>40000</v>
      </c>
      <c r="K28" s="148">
        <v>40000</v>
      </c>
      <c r="L28" s="148">
        <v>25000</v>
      </c>
      <c r="M28" s="148">
        <v>147000</v>
      </c>
      <c r="N28" s="148"/>
      <c r="O28" s="148"/>
      <c r="P28" s="147"/>
      <c r="Q28" s="147"/>
      <c r="R28" s="209"/>
      <c r="S28" s="147"/>
      <c r="T28" s="147"/>
      <c r="U28" s="147"/>
      <c r="V28" s="147"/>
      <c r="W28" s="147"/>
      <c r="X28" s="147"/>
      <c r="Y28" s="147"/>
      <c r="Z28" s="147"/>
      <c r="AA28" s="147"/>
      <c r="AB28" s="217">
        <f t="shared" si="5"/>
        <v>902000</v>
      </c>
    </row>
    <row r="29" spans="2:28" ht="15">
      <c r="B29" s="133" t="s">
        <v>248</v>
      </c>
      <c r="C29" s="150" t="s">
        <v>180</v>
      </c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7"/>
      <c r="Q29" s="147"/>
      <c r="R29" s="209"/>
      <c r="S29" s="147"/>
      <c r="T29" s="147"/>
      <c r="U29" s="147"/>
      <c r="V29" s="147"/>
      <c r="W29" s="147"/>
      <c r="X29" s="147"/>
      <c r="Y29" s="147"/>
      <c r="Z29" s="147"/>
      <c r="AA29" s="147"/>
      <c r="AB29" s="217">
        <f t="shared" si="5"/>
        <v>0</v>
      </c>
    </row>
    <row r="30" spans="2:28" ht="15">
      <c r="B30" s="133" t="s">
        <v>249</v>
      </c>
      <c r="C30" s="150" t="s">
        <v>181</v>
      </c>
      <c r="D30" s="148">
        <v>150000</v>
      </c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>
        <f>511978</f>
        <v>511978</v>
      </c>
      <c r="P30" s="147"/>
      <c r="Q30" s="147"/>
      <c r="R30" s="209"/>
      <c r="S30" s="147"/>
      <c r="T30" s="147"/>
      <c r="U30" s="147"/>
      <c r="V30" s="147"/>
      <c r="W30" s="147"/>
      <c r="X30" s="147"/>
      <c r="Y30" s="147"/>
      <c r="Z30" s="147"/>
      <c r="AA30" s="147"/>
      <c r="AB30" s="217">
        <f>SUM(D30:AA30)</f>
        <v>661978</v>
      </c>
    </row>
    <row r="31" spans="2:28" ht="15">
      <c r="B31" s="133" t="s">
        <v>250</v>
      </c>
      <c r="C31" s="150" t="s">
        <v>182</v>
      </c>
      <c r="D31" s="148">
        <v>680000</v>
      </c>
      <c r="E31" s="148"/>
      <c r="F31" s="148">
        <v>500000</v>
      </c>
      <c r="G31" s="148">
        <v>1400000</v>
      </c>
      <c r="H31" s="148">
        <v>528000</v>
      </c>
      <c r="I31" s="148"/>
      <c r="J31" s="148"/>
      <c r="K31" s="148"/>
      <c r="L31" s="148"/>
      <c r="M31" s="148"/>
      <c r="N31" s="148">
        <v>147000</v>
      </c>
      <c r="O31" s="151">
        <f>7191463+393700+118110+66776</f>
        <v>7770049</v>
      </c>
      <c r="P31" s="147">
        <v>30000</v>
      </c>
      <c r="Q31" s="147"/>
      <c r="R31" s="209">
        <v>2285000</v>
      </c>
      <c r="S31" s="147"/>
      <c r="T31" s="147"/>
      <c r="U31" s="147"/>
      <c r="V31" s="147"/>
      <c r="W31" s="147"/>
      <c r="X31" s="147"/>
      <c r="Y31" s="147"/>
      <c r="Z31" s="147"/>
      <c r="AA31" s="147"/>
      <c r="AB31" s="217">
        <f t="shared" si="5"/>
        <v>13340049</v>
      </c>
    </row>
    <row r="32" spans="2:28" ht="15">
      <c r="B32" s="133" t="s">
        <v>251</v>
      </c>
      <c r="C32" s="129" t="s">
        <v>183</v>
      </c>
      <c r="D32" s="147">
        <v>400000</v>
      </c>
      <c r="E32" s="147"/>
      <c r="F32" s="148"/>
      <c r="G32" s="148"/>
      <c r="H32" s="148"/>
      <c r="I32" s="148"/>
      <c r="J32" s="148">
        <v>21000</v>
      </c>
      <c r="K32" s="148"/>
      <c r="L32" s="147"/>
      <c r="M32" s="147"/>
      <c r="N32" s="147"/>
      <c r="O32" s="147"/>
      <c r="P32" s="147"/>
      <c r="Q32" s="147"/>
      <c r="R32" s="209">
        <v>21000</v>
      </c>
      <c r="S32" s="147"/>
      <c r="T32" s="147"/>
      <c r="U32" s="147"/>
      <c r="V32" s="147"/>
      <c r="W32" s="147"/>
      <c r="X32" s="147"/>
      <c r="Y32" s="147"/>
      <c r="Z32" s="147"/>
      <c r="AA32" s="147"/>
      <c r="AB32" s="217">
        <f t="shared" si="5"/>
        <v>442000</v>
      </c>
    </row>
    <row r="33" spans="2:28" ht="15">
      <c r="B33" s="133" t="s">
        <v>252</v>
      </c>
      <c r="C33" s="129" t="s">
        <v>184</v>
      </c>
      <c r="D33" s="147">
        <v>300000</v>
      </c>
      <c r="E33" s="147"/>
      <c r="F33" s="147">
        <v>70000</v>
      </c>
      <c r="G33" s="147"/>
      <c r="H33" s="148"/>
      <c r="I33" s="148"/>
      <c r="J33" s="148">
        <v>29000</v>
      </c>
      <c r="K33" s="148">
        <v>170000</v>
      </c>
      <c r="L33" s="147"/>
      <c r="M33" s="147">
        <v>30000</v>
      </c>
      <c r="N33" s="147"/>
      <c r="O33" s="147"/>
      <c r="P33" s="147"/>
      <c r="Q33" s="147"/>
      <c r="R33" s="209">
        <v>70000</v>
      </c>
      <c r="S33" s="147"/>
      <c r="T33" s="147"/>
      <c r="U33" s="147"/>
      <c r="V33" s="147"/>
      <c r="W33" s="147"/>
      <c r="X33" s="147"/>
      <c r="Y33" s="147"/>
      <c r="Z33" s="147"/>
      <c r="AA33" s="147"/>
      <c r="AB33" s="217">
        <f t="shared" si="5"/>
        <v>669000</v>
      </c>
    </row>
    <row r="34" spans="2:28" ht="15">
      <c r="B34" s="133" t="s">
        <v>253</v>
      </c>
      <c r="C34" s="129" t="s">
        <v>185</v>
      </c>
      <c r="D34" s="147">
        <v>450000</v>
      </c>
      <c r="E34" s="147"/>
      <c r="F34" s="147"/>
      <c r="G34" s="148"/>
      <c r="H34" s="148"/>
      <c r="I34" s="147"/>
      <c r="J34" s="148"/>
      <c r="K34" s="148">
        <v>173000</v>
      </c>
      <c r="L34" s="147"/>
      <c r="M34" s="147"/>
      <c r="N34" s="147">
        <v>20000</v>
      </c>
      <c r="O34" s="147"/>
      <c r="P34" s="147"/>
      <c r="Q34" s="147">
        <v>3603150</v>
      </c>
      <c r="R34" s="209">
        <v>1383000</v>
      </c>
      <c r="S34" s="147"/>
      <c r="T34" s="147"/>
      <c r="U34" s="147"/>
      <c r="V34" s="147"/>
      <c r="W34" s="147"/>
      <c r="X34" s="147"/>
      <c r="Y34" s="147"/>
      <c r="Z34" s="147"/>
      <c r="AA34" s="147"/>
      <c r="AB34" s="217">
        <f t="shared" si="5"/>
        <v>5629150</v>
      </c>
    </row>
    <row r="35" spans="2:28" ht="15">
      <c r="B35" s="133" t="s">
        <v>254</v>
      </c>
      <c r="C35" s="129" t="s">
        <v>186</v>
      </c>
      <c r="D35" s="147"/>
      <c r="E35" s="147"/>
      <c r="F35" s="147"/>
      <c r="G35" s="148"/>
      <c r="H35" s="148"/>
      <c r="I35" s="147"/>
      <c r="J35" s="148"/>
      <c r="K35" s="148">
        <v>770000</v>
      </c>
      <c r="L35" s="147"/>
      <c r="M35" s="147"/>
      <c r="N35" s="147"/>
      <c r="O35" s="147"/>
      <c r="P35" s="147"/>
      <c r="Q35" s="147"/>
      <c r="R35" s="209">
        <v>1404000</v>
      </c>
      <c r="S35" s="147"/>
      <c r="T35" s="147"/>
      <c r="U35" s="147"/>
      <c r="V35" s="147"/>
      <c r="W35" s="147"/>
      <c r="X35" s="147"/>
      <c r="Y35" s="147"/>
      <c r="Z35" s="147"/>
      <c r="AA35" s="147"/>
      <c r="AB35" s="217">
        <f t="shared" si="5"/>
        <v>2174000</v>
      </c>
    </row>
    <row r="36" spans="2:28" ht="15">
      <c r="B36" s="133" t="s">
        <v>255</v>
      </c>
      <c r="C36" s="129" t="s">
        <v>187</v>
      </c>
      <c r="D36" s="148">
        <v>70000</v>
      </c>
      <c r="E36" s="148"/>
      <c r="F36" s="148">
        <v>26000</v>
      </c>
      <c r="G36" s="148"/>
      <c r="H36" s="148"/>
      <c r="I36" s="148"/>
      <c r="J36" s="148"/>
      <c r="K36" s="148"/>
      <c r="L36" s="148"/>
      <c r="M36" s="148"/>
      <c r="N36" s="148"/>
      <c r="O36" s="148"/>
      <c r="P36" s="147"/>
      <c r="Q36" s="147"/>
      <c r="R36" s="209">
        <v>162000</v>
      </c>
      <c r="S36" s="147"/>
      <c r="T36" s="147"/>
      <c r="U36" s="147"/>
      <c r="V36" s="147"/>
      <c r="W36" s="147"/>
      <c r="X36" s="147"/>
      <c r="Y36" s="147"/>
      <c r="Z36" s="147"/>
      <c r="AA36" s="147"/>
      <c r="AB36" s="217">
        <f t="shared" si="5"/>
        <v>258000</v>
      </c>
    </row>
    <row r="37" spans="2:28" ht="15">
      <c r="B37" s="133" t="s">
        <v>256</v>
      </c>
      <c r="C37" s="129" t="s">
        <v>188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>
        <v>215000</v>
      </c>
      <c r="O37" s="148"/>
      <c r="P37" s="147"/>
      <c r="Q37" s="147"/>
      <c r="R37" s="209"/>
      <c r="S37" s="147"/>
      <c r="T37" s="147"/>
      <c r="U37" s="147"/>
      <c r="V37" s="147"/>
      <c r="W37" s="147"/>
      <c r="X37" s="147"/>
      <c r="Y37" s="147"/>
      <c r="Z37" s="147"/>
      <c r="AA37" s="147"/>
      <c r="AB37" s="217">
        <f t="shared" si="5"/>
        <v>215000</v>
      </c>
    </row>
    <row r="38" spans="2:28" ht="15">
      <c r="B38" s="133" t="s">
        <v>257</v>
      </c>
      <c r="C38" s="129" t="s">
        <v>189</v>
      </c>
      <c r="D38" s="148">
        <v>100000</v>
      </c>
      <c r="E38" s="148"/>
      <c r="F38" s="148"/>
      <c r="G38" s="148">
        <v>200000</v>
      </c>
      <c r="H38" s="148">
        <v>200000</v>
      </c>
      <c r="I38" s="148"/>
      <c r="J38" s="148">
        <v>11000</v>
      </c>
      <c r="K38" s="148"/>
      <c r="L38" s="148"/>
      <c r="M38" s="148"/>
      <c r="N38" s="148">
        <v>114000</v>
      </c>
      <c r="O38" s="148"/>
      <c r="P38" s="147"/>
      <c r="Q38" s="147"/>
      <c r="R38" s="209"/>
      <c r="S38" s="147"/>
      <c r="T38" s="147"/>
      <c r="U38" s="147"/>
      <c r="V38" s="147"/>
      <c r="W38" s="147"/>
      <c r="X38" s="147"/>
      <c r="Y38" s="147"/>
      <c r="Z38" s="147"/>
      <c r="AA38" s="147"/>
      <c r="AB38" s="217">
        <f t="shared" si="5"/>
        <v>625000</v>
      </c>
    </row>
    <row r="39" spans="2:28" ht="15">
      <c r="B39" s="133" t="s">
        <v>259</v>
      </c>
      <c r="C39" s="129" t="s">
        <v>190</v>
      </c>
      <c r="D39" s="148">
        <v>150000</v>
      </c>
      <c r="E39" s="148"/>
      <c r="F39" s="148">
        <v>55000</v>
      </c>
      <c r="G39" s="148"/>
      <c r="H39" s="148">
        <v>800000</v>
      </c>
      <c r="I39" s="148"/>
      <c r="J39" s="148"/>
      <c r="K39" s="148"/>
      <c r="L39" s="148"/>
      <c r="M39" s="148"/>
      <c r="N39" s="148"/>
      <c r="O39" s="148"/>
      <c r="P39" s="147"/>
      <c r="Q39" s="147"/>
      <c r="R39" s="209">
        <v>50000</v>
      </c>
      <c r="S39" s="147"/>
      <c r="T39" s="147"/>
      <c r="U39" s="147"/>
      <c r="V39" s="147"/>
      <c r="W39" s="147"/>
      <c r="X39" s="147"/>
      <c r="Y39" s="147"/>
      <c r="Z39" s="147"/>
      <c r="AA39" s="147"/>
      <c r="AB39" s="217">
        <f t="shared" si="5"/>
        <v>1055000</v>
      </c>
    </row>
    <row r="40" spans="2:28" ht="15">
      <c r="B40" s="133" t="s">
        <v>288</v>
      </c>
      <c r="C40" s="129" t="s">
        <v>191</v>
      </c>
      <c r="D40" s="148"/>
      <c r="E40" s="148"/>
      <c r="F40" s="148">
        <v>15000</v>
      </c>
      <c r="G40" s="148"/>
      <c r="H40" s="148"/>
      <c r="I40" s="148"/>
      <c r="J40" s="148">
        <v>5000</v>
      </c>
      <c r="K40" s="148">
        <v>6000000</v>
      </c>
      <c r="L40" s="148">
        <v>5000</v>
      </c>
      <c r="M40" s="148">
        <v>5000</v>
      </c>
      <c r="N40" s="148"/>
      <c r="O40" s="148"/>
      <c r="P40" s="147"/>
      <c r="Q40" s="147"/>
      <c r="R40" s="209"/>
      <c r="S40" s="147"/>
      <c r="T40" s="147"/>
      <c r="U40" s="147"/>
      <c r="V40" s="147"/>
      <c r="W40" s="147"/>
      <c r="X40" s="147"/>
      <c r="Y40" s="147"/>
      <c r="Z40" s="147"/>
      <c r="AA40" s="147"/>
      <c r="AB40" s="217">
        <f t="shared" si="5"/>
        <v>6030000</v>
      </c>
    </row>
    <row r="41" spans="2:28" ht="15">
      <c r="B41" s="133" t="s">
        <v>289</v>
      </c>
      <c r="C41" s="129" t="s">
        <v>192</v>
      </c>
      <c r="D41" s="148">
        <v>1800000</v>
      </c>
      <c r="E41" s="148"/>
      <c r="F41" s="148">
        <v>5000</v>
      </c>
      <c r="G41" s="148"/>
      <c r="H41" s="148">
        <v>1000</v>
      </c>
      <c r="I41" s="148"/>
      <c r="J41" s="148">
        <v>15000</v>
      </c>
      <c r="K41" s="148"/>
      <c r="L41" s="148"/>
      <c r="M41" s="148">
        <v>115000</v>
      </c>
      <c r="N41" s="148">
        <v>2262000</v>
      </c>
      <c r="O41" s="148"/>
      <c r="P41" s="147"/>
      <c r="Q41" s="147"/>
      <c r="R41" s="209">
        <v>280000</v>
      </c>
      <c r="S41" s="147">
        <v>21192600</v>
      </c>
      <c r="T41" s="147"/>
      <c r="U41" s="147"/>
      <c r="V41" s="147"/>
      <c r="W41" s="147"/>
      <c r="X41" s="147"/>
      <c r="Y41" s="147"/>
      <c r="Z41" s="147"/>
      <c r="AA41" s="147"/>
      <c r="AB41" s="217">
        <f t="shared" si="5"/>
        <v>25670600</v>
      </c>
    </row>
    <row r="42" spans="2:28" ht="15">
      <c r="B42" s="133" t="s">
        <v>290</v>
      </c>
      <c r="C42" s="129" t="s">
        <v>193</v>
      </c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7"/>
      <c r="Q42" s="147"/>
      <c r="R42" s="209"/>
      <c r="S42" s="147"/>
      <c r="T42" s="147"/>
      <c r="U42" s="147"/>
      <c r="V42" s="147"/>
      <c r="W42" s="147"/>
      <c r="X42" s="147"/>
      <c r="Y42" s="147"/>
      <c r="Z42" s="147"/>
      <c r="AA42" s="147"/>
      <c r="AB42" s="217">
        <f t="shared" si="5"/>
        <v>0</v>
      </c>
    </row>
    <row r="43" spans="2:28" ht="15">
      <c r="B43" s="133" t="s">
        <v>291</v>
      </c>
      <c r="C43" s="129" t="s">
        <v>194</v>
      </c>
      <c r="D43" s="152">
        <v>570000</v>
      </c>
      <c r="E43" s="152"/>
      <c r="F43" s="152"/>
      <c r="G43" s="152"/>
      <c r="H43" s="153"/>
      <c r="I43" s="152"/>
      <c r="J43" s="152">
        <v>13000</v>
      </c>
      <c r="K43" s="152">
        <v>26000</v>
      </c>
      <c r="L43" s="152"/>
      <c r="M43" s="153"/>
      <c r="N43" s="153"/>
      <c r="O43" s="152"/>
      <c r="P43" s="152"/>
      <c r="Q43" s="152"/>
      <c r="R43" s="209"/>
      <c r="S43" s="152"/>
      <c r="T43" s="152"/>
      <c r="U43" s="152"/>
      <c r="V43" s="152"/>
      <c r="W43" s="152"/>
      <c r="X43" s="152"/>
      <c r="Y43" s="152"/>
      <c r="Z43" s="147"/>
      <c r="AA43" s="147"/>
      <c r="AB43" s="217">
        <f t="shared" si="5"/>
        <v>609000</v>
      </c>
    </row>
    <row r="44" spans="2:28" ht="15">
      <c r="B44" s="133" t="s">
        <v>292</v>
      </c>
      <c r="C44" s="129" t="s">
        <v>195</v>
      </c>
      <c r="D44" s="152"/>
      <c r="E44" s="152"/>
      <c r="F44" s="152"/>
      <c r="G44" s="152"/>
      <c r="H44" s="153"/>
      <c r="I44" s="152"/>
      <c r="J44" s="152"/>
      <c r="K44" s="152"/>
      <c r="L44" s="152"/>
      <c r="M44" s="153"/>
      <c r="N44" s="153"/>
      <c r="O44" s="152"/>
      <c r="P44" s="152"/>
      <c r="Q44" s="152"/>
      <c r="R44" s="209"/>
      <c r="S44" s="152"/>
      <c r="T44" s="152"/>
      <c r="U44" s="152"/>
      <c r="V44" s="152"/>
      <c r="W44" s="152"/>
      <c r="X44" s="152"/>
      <c r="Y44" s="152"/>
      <c r="Z44" s="147"/>
      <c r="AA44" s="147"/>
      <c r="AB44" s="217">
        <f t="shared" si="5"/>
        <v>0</v>
      </c>
    </row>
    <row r="45" spans="2:28" ht="15">
      <c r="B45" s="133" t="s">
        <v>293</v>
      </c>
      <c r="C45" s="129" t="s">
        <v>196</v>
      </c>
      <c r="D45" s="152"/>
      <c r="E45" s="152"/>
      <c r="F45" s="152"/>
      <c r="G45" s="152"/>
      <c r="H45" s="153"/>
      <c r="I45" s="152"/>
      <c r="J45" s="152"/>
      <c r="K45" s="152"/>
      <c r="L45" s="152"/>
      <c r="M45" s="153"/>
      <c r="N45" s="153"/>
      <c r="O45" s="152"/>
      <c r="P45" s="152"/>
      <c r="Q45" s="152"/>
      <c r="R45" s="209"/>
      <c r="S45" s="152"/>
      <c r="T45" s="152"/>
      <c r="U45" s="152"/>
      <c r="V45" s="152"/>
      <c r="W45" s="152"/>
      <c r="X45" s="152"/>
      <c r="Y45" s="152"/>
      <c r="Z45" s="147"/>
      <c r="AA45" s="147"/>
      <c r="AB45" s="217">
        <f t="shared" si="5"/>
        <v>0</v>
      </c>
    </row>
    <row r="46" spans="2:28" ht="15">
      <c r="B46" s="133" t="s">
        <v>294</v>
      </c>
      <c r="C46" s="149" t="s">
        <v>197</v>
      </c>
      <c r="D46" s="152">
        <v>1600000</v>
      </c>
      <c r="E46" s="152"/>
      <c r="F46" s="152">
        <v>35000</v>
      </c>
      <c r="G46" s="152">
        <v>1043000</v>
      </c>
      <c r="H46" s="153">
        <v>800000</v>
      </c>
      <c r="I46" s="152"/>
      <c r="J46" s="152">
        <v>20000</v>
      </c>
      <c r="K46" s="152">
        <v>35000</v>
      </c>
      <c r="L46" s="152"/>
      <c r="M46" s="154">
        <v>56000</v>
      </c>
      <c r="N46" s="154">
        <v>43000</v>
      </c>
      <c r="O46" s="152">
        <f>442520+162992</f>
        <v>605512</v>
      </c>
      <c r="P46" s="152">
        <v>1655000</v>
      </c>
      <c r="Q46" s="152"/>
      <c r="R46" s="209">
        <v>310000</v>
      </c>
      <c r="S46" s="152"/>
      <c r="T46" s="152"/>
      <c r="U46" s="152"/>
      <c r="V46" s="152"/>
      <c r="W46" s="152"/>
      <c r="X46" s="152"/>
      <c r="Y46" s="152"/>
      <c r="Z46" s="147"/>
      <c r="AA46" s="147"/>
      <c r="AB46" s="217">
        <f t="shared" si="5"/>
        <v>6202512</v>
      </c>
    </row>
    <row r="47" spans="2:28" ht="15">
      <c r="B47" s="133" t="s">
        <v>295</v>
      </c>
      <c r="C47" s="149" t="s">
        <v>198</v>
      </c>
      <c r="D47" s="152"/>
      <c r="E47" s="152"/>
      <c r="F47" s="152"/>
      <c r="G47" s="152"/>
      <c r="H47" s="153"/>
      <c r="I47" s="152"/>
      <c r="J47" s="152"/>
      <c r="K47" s="152"/>
      <c r="L47" s="152"/>
      <c r="M47" s="152"/>
      <c r="N47" s="152">
        <v>119000</v>
      </c>
      <c r="O47" s="152"/>
      <c r="P47" s="152"/>
      <c r="Q47" s="153"/>
      <c r="R47" s="209"/>
      <c r="S47" s="152"/>
      <c r="T47" s="152"/>
      <c r="U47" s="152"/>
      <c r="V47" s="152"/>
      <c r="W47" s="152"/>
      <c r="X47" s="152"/>
      <c r="Y47" s="152"/>
      <c r="Z47" s="152"/>
      <c r="AA47" s="152"/>
      <c r="AB47" s="217">
        <f t="shared" si="5"/>
        <v>119000</v>
      </c>
    </row>
    <row r="48" spans="2:28" ht="15">
      <c r="B48" s="133" t="s">
        <v>296</v>
      </c>
      <c r="C48" s="149" t="s">
        <v>199</v>
      </c>
      <c r="D48" s="152">
        <v>1500000</v>
      </c>
      <c r="E48" s="152"/>
      <c r="F48" s="152">
        <v>161000</v>
      </c>
      <c r="G48" s="152">
        <v>812918</v>
      </c>
      <c r="H48" s="153">
        <v>629000</v>
      </c>
      <c r="I48" s="152"/>
      <c r="J48" s="152">
        <v>88000</v>
      </c>
      <c r="K48" s="152">
        <v>397000</v>
      </c>
      <c r="L48" s="152">
        <v>6000</v>
      </c>
      <c r="M48" s="152">
        <v>109000</v>
      </c>
      <c r="N48" s="152">
        <v>273000</v>
      </c>
      <c r="O48" s="152">
        <f>76498+38803+84284+138139+31890+58038+24916+163667+1941695+106299+31890+119480+44008+18030+138234</f>
        <v>3015871</v>
      </c>
      <c r="P48" s="152">
        <f>447000+8000</f>
        <v>455000</v>
      </c>
      <c r="Q48" s="153">
        <v>972850</v>
      </c>
      <c r="R48" s="209">
        <v>1611000</v>
      </c>
      <c r="S48" s="152">
        <v>5721993</v>
      </c>
      <c r="T48" s="152"/>
      <c r="U48" s="152"/>
      <c r="V48" s="152"/>
      <c r="W48" s="152"/>
      <c r="X48" s="152"/>
      <c r="Y48" s="152"/>
      <c r="Z48" s="152"/>
      <c r="AA48" s="152"/>
      <c r="AB48" s="217">
        <f t="shared" si="5"/>
        <v>15752632</v>
      </c>
    </row>
    <row r="49" spans="2:28" ht="15">
      <c r="B49" s="133" t="s">
        <v>297</v>
      </c>
      <c r="C49" s="149" t="s">
        <v>200</v>
      </c>
      <c r="D49" s="152">
        <v>3600000</v>
      </c>
      <c r="E49" s="152"/>
      <c r="F49" s="152"/>
      <c r="G49" s="152"/>
      <c r="H49" s="153"/>
      <c r="I49" s="152"/>
      <c r="J49" s="152"/>
      <c r="K49" s="152"/>
      <c r="L49" s="152"/>
      <c r="M49" s="152"/>
      <c r="N49" s="152"/>
      <c r="O49" s="152"/>
      <c r="P49" s="152"/>
      <c r="Q49" s="153"/>
      <c r="R49" s="209"/>
      <c r="S49" s="152"/>
      <c r="T49" s="152"/>
      <c r="U49" s="152"/>
      <c r="V49" s="152"/>
      <c r="W49" s="152"/>
      <c r="X49" s="152"/>
      <c r="Y49" s="152"/>
      <c r="Z49" s="152"/>
      <c r="AA49" s="152"/>
      <c r="AB49" s="217">
        <f t="shared" si="5"/>
        <v>3600000</v>
      </c>
    </row>
    <row r="50" spans="2:28" ht="15">
      <c r="B50" s="133" t="s">
        <v>298</v>
      </c>
      <c r="C50" s="129" t="s">
        <v>201</v>
      </c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209"/>
      <c r="S50" s="152"/>
      <c r="T50" s="152"/>
      <c r="U50" s="152"/>
      <c r="V50" s="152"/>
      <c r="W50" s="152"/>
      <c r="X50" s="152"/>
      <c r="Y50" s="152"/>
      <c r="Z50" s="152"/>
      <c r="AA50" s="152"/>
      <c r="AB50" s="217">
        <f t="shared" si="5"/>
        <v>0</v>
      </c>
    </row>
    <row r="51" spans="2:28" ht="15">
      <c r="B51" s="133" t="s">
        <v>299</v>
      </c>
      <c r="C51" s="129" t="s">
        <v>202</v>
      </c>
      <c r="D51" s="152"/>
      <c r="E51" s="152"/>
      <c r="F51" s="152"/>
      <c r="G51" s="152"/>
      <c r="H51" s="153"/>
      <c r="I51" s="152"/>
      <c r="J51" s="152"/>
      <c r="K51" s="152"/>
      <c r="L51" s="152"/>
      <c r="M51" s="152"/>
      <c r="N51" s="152"/>
      <c r="O51" s="152"/>
      <c r="P51" s="152"/>
      <c r="Q51" s="152"/>
      <c r="R51" s="209"/>
      <c r="S51" s="152"/>
      <c r="T51" s="152"/>
      <c r="U51" s="152"/>
      <c r="V51" s="152"/>
      <c r="W51" s="152"/>
      <c r="X51" s="152"/>
      <c r="Y51" s="152"/>
      <c r="Z51" s="152"/>
      <c r="AA51" s="152"/>
      <c r="AB51" s="217">
        <f t="shared" si="5"/>
        <v>0</v>
      </c>
    </row>
    <row r="52" spans="2:28" ht="15">
      <c r="B52" s="133" t="s">
        <v>300</v>
      </c>
      <c r="C52" s="129" t="s">
        <v>203</v>
      </c>
      <c r="D52" s="152">
        <v>100000</v>
      </c>
      <c r="E52" s="152"/>
      <c r="F52" s="152"/>
      <c r="G52" s="152"/>
      <c r="H52" s="153"/>
      <c r="I52" s="152"/>
      <c r="J52" s="153"/>
      <c r="K52" s="153">
        <v>10000</v>
      </c>
      <c r="L52" s="152"/>
      <c r="M52" s="153"/>
      <c r="N52" s="153">
        <v>99000</v>
      </c>
      <c r="O52" s="152"/>
      <c r="P52" s="152"/>
      <c r="Q52" s="152"/>
      <c r="R52" s="209">
        <v>100000</v>
      </c>
      <c r="S52" s="153"/>
      <c r="T52" s="153"/>
      <c r="U52" s="153"/>
      <c r="V52" s="153"/>
      <c r="W52" s="153"/>
      <c r="X52" s="153"/>
      <c r="Y52" s="153"/>
      <c r="Z52" s="152"/>
      <c r="AA52" s="152"/>
      <c r="AB52" s="217">
        <f t="shared" si="5"/>
        <v>309000</v>
      </c>
    </row>
    <row r="53" spans="2:28" s="128" customFormat="1">
      <c r="B53" s="133" t="s">
        <v>301</v>
      </c>
      <c r="C53" s="156" t="s">
        <v>204</v>
      </c>
      <c r="D53" s="157">
        <f>SUM(D18:D52)</f>
        <v>13740000</v>
      </c>
      <c r="E53" s="157">
        <f t="shared" ref="E53:AA53" si="6">SUM(E18:E52)</f>
        <v>0</v>
      </c>
      <c r="F53" s="157">
        <f t="shared" si="6"/>
        <v>1017000</v>
      </c>
      <c r="G53" s="157">
        <f t="shared" si="6"/>
        <v>3455918</v>
      </c>
      <c r="H53" s="157">
        <f t="shared" si="6"/>
        <v>2958000</v>
      </c>
      <c r="I53" s="157">
        <f t="shared" si="6"/>
        <v>0</v>
      </c>
      <c r="J53" s="157">
        <f t="shared" si="6"/>
        <v>432000</v>
      </c>
      <c r="K53" s="157">
        <f t="shared" si="6"/>
        <v>7746000</v>
      </c>
      <c r="L53" s="157">
        <f t="shared" si="6"/>
        <v>66000</v>
      </c>
      <c r="M53" s="157">
        <f t="shared" si="6"/>
        <v>517000</v>
      </c>
      <c r="N53" s="157">
        <f t="shared" si="6"/>
        <v>3292000</v>
      </c>
      <c r="O53" s="157">
        <f t="shared" si="6"/>
        <v>14185945</v>
      </c>
      <c r="P53" s="157">
        <f t="shared" si="6"/>
        <v>2140000</v>
      </c>
      <c r="Q53" s="157">
        <f t="shared" si="6"/>
        <v>4576000</v>
      </c>
      <c r="R53" s="157">
        <f t="shared" si="6"/>
        <v>7676000</v>
      </c>
      <c r="S53" s="157">
        <f t="shared" si="6"/>
        <v>26914593</v>
      </c>
      <c r="T53" s="157">
        <f t="shared" si="6"/>
        <v>0</v>
      </c>
      <c r="U53" s="157">
        <f t="shared" si="6"/>
        <v>0</v>
      </c>
      <c r="V53" s="157">
        <f t="shared" si="6"/>
        <v>0</v>
      </c>
      <c r="W53" s="157">
        <f t="shared" si="6"/>
        <v>0</v>
      </c>
      <c r="X53" s="157">
        <f t="shared" si="6"/>
        <v>0</v>
      </c>
      <c r="Y53" s="157">
        <f t="shared" si="6"/>
        <v>0</v>
      </c>
      <c r="Z53" s="157">
        <f t="shared" si="6"/>
        <v>0</v>
      </c>
      <c r="AA53" s="157">
        <f t="shared" si="6"/>
        <v>0</v>
      </c>
      <c r="AB53" s="217">
        <f t="shared" si="5"/>
        <v>88716456</v>
      </c>
    </row>
    <row r="54" spans="2:28" s="162" customFormat="1" ht="15" customHeight="1">
      <c r="B54" s="133" t="s">
        <v>302</v>
      </c>
      <c r="C54" s="158" t="s">
        <v>205</v>
      </c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209"/>
      <c r="S54" s="159"/>
      <c r="T54" s="160">
        <v>4000000</v>
      </c>
      <c r="U54" s="161"/>
      <c r="V54" s="160"/>
      <c r="W54" s="161"/>
      <c r="X54" s="161"/>
      <c r="Y54" s="161"/>
      <c r="Z54" s="161"/>
      <c r="AA54" s="161">
        <v>431000</v>
      </c>
      <c r="AB54" s="222">
        <f>SUM(D54:AA54)</f>
        <v>4431000</v>
      </c>
    </row>
    <row r="55" spans="2:28" ht="15">
      <c r="B55" s="133" t="s">
        <v>303</v>
      </c>
      <c r="C55" s="163" t="s">
        <v>206</v>
      </c>
      <c r="D55" s="152"/>
      <c r="E55" s="152"/>
      <c r="F55" s="152"/>
      <c r="G55" s="152"/>
      <c r="H55" s="153"/>
      <c r="I55" s="152"/>
      <c r="J55" s="152"/>
      <c r="K55" s="152"/>
      <c r="L55" s="152"/>
      <c r="M55" s="152"/>
      <c r="N55" s="152"/>
      <c r="O55" s="152"/>
      <c r="P55" s="152"/>
      <c r="Q55" s="152"/>
      <c r="R55" s="209"/>
      <c r="S55" s="152"/>
      <c r="T55" s="164"/>
      <c r="U55" s="160">
        <v>300000</v>
      </c>
      <c r="V55" s="6"/>
      <c r="W55" s="160">
        <v>550000</v>
      </c>
      <c r="X55" s="160">
        <v>500000</v>
      </c>
      <c r="Y55" s="160">
        <v>3000000</v>
      </c>
      <c r="Z55" s="160">
        <v>220000</v>
      </c>
      <c r="AA55" s="160"/>
      <c r="AB55" s="219">
        <f>SUM(D55:AA55)</f>
        <v>4570000</v>
      </c>
    </row>
    <row r="56" spans="2:28" ht="15">
      <c r="B56" s="133" t="s">
        <v>304</v>
      </c>
      <c r="C56" s="163" t="s">
        <v>279</v>
      </c>
      <c r="D56" s="152"/>
      <c r="E56" s="152"/>
      <c r="F56" s="152"/>
      <c r="G56" s="152"/>
      <c r="H56" s="153"/>
      <c r="I56" s="152"/>
      <c r="J56" s="152"/>
      <c r="K56" s="152">
        <v>1200000</v>
      </c>
      <c r="L56" s="152"/>
      <c r="M56" s="152"/>
      <c r="N56" s="152"/>
      <c r="O56" s="152"/>
      <c r="P56" s="152"/>
      <c r="Q56" s="152"/>
      <c r="R56" s="209"/>
      <c r="S56" s="152"/>
      <c r="T56" s="164"/>
      <c r="U56" s="160"/>
      <c r="V56" s="6"/>
      <c r="W56" s="160"/>
      <c r="X56" s="160"/>
      <c r="Y56" s="160"/>
      <c r="Z56" s="160"/>
      <c r="AA56" s="160"/>
      <c r="AB56" s="219">
        <f t="shared" ref="AB56:AB67" si="7">SUM(D56:AA56)</f>
        <v>1200000</v>
      </c>
    </row>
    <row r="57" spans="2:28" ht="15">
      <c r="B57" s="133"/>
      <c r="C57" s="163" t="s">
        <v>316</v>
      </c>
      <c r="D57" s="152"/>
      <c r="E57" s="152"/>
      <c r="F57" s="152"/>
      <c r="G57" s="152"/>
      <c r="H57" s="153"/>
      <c r="I57" s="152"/>
      <c r="J57" s="152"/>
      <c r="K57" s="152"/>
      <c r="L57" s="152"/>
      <c r="M57" s="152"/>
      <c r="N57" s="152"/>
      <c r="O57" s="152"/>
      <c r="P57" s="152"/>
      <c r="Q57" s="152"/>
      <c r="R57" s="209">
        <v>6000000</v>
      </c>
      <c r="S57" s="152"/>
      <c r="T57" s="164"/>
      <c r="U57" s="160"/>
      <c r="V57" s="6"/>
      <c r="W57" s="160"/>
      <c r="X57" s="160"/>
      <c r="Y57" s="160"/>
      <c r="Z57" s="160"/>
      <c r="AA57" s="160"/>
      <c r="AB57" s="219">
        <f t="shared" si="7"/>
        <v>6000000</v>
      </c>
    </row>
    <row r="58" spans="2:28" ht="15">
      <c r="B58" s="133" t="s">
        <v>305</v>
      </c>
      <c r="C58" s="163" t="s">
        <v>275</v>
      </c>
      <c r="D58" s="152">
        <v>696000</v>
      </c>
      <c r="E58" s="152"/>
      <c r="F58" s="152"/>
      <c r="G58" s="152"/>
      <c r="H58" s="153"/>
      <c r="I58" s="152"/>
      <c r="J58" s="152"/>
      <c r="K58" s="152"/>
      <c r="L58" s="152"/>
      <c r="M58" s="152"/>
      <c r="N58" s="152"/>
      <c r="O58" s="152"/>
      <c r="P58" s="152"/>
      <c r="Q58" s="152"/>
      <c r="R58" s="209"/>
      <c r="S58" s="152"/>
      <c r="T58" s="164"/>
      <c r="U58" s="160"/>
      <c r="V58" s="6"/>
      <c r="W58" s="160"/>
      <c r="X58" s="160"/>
      <c r="Y58" s="160"/>
      <c r="Z58" s="160"/>
      <c r="AA58" s="160"/>
      <c r="AB58" s="219">
        <f t="shared" si="7"/>
        <v>696000</v>
      </c>
    </row>
    <row r="59" spans="2:28" ht="15">
      <c r="B59" s="133"/>
      <c r="C59" s="163" t="s">
        <v>355</v>
      </c>
      <c r="D59" s="152">
        <v>120000</v>
      </c>
      <c r="E59" s="152"/>
      <c r="F59" s="152"/>
      <c r="G59" s="152"/>
      <c r="H59" s="153"/>
      <c r="I59" s="152"/>
      <c r="J59" s="152"/>
      <c r="K59" s="152"/>
      <c r="L59" s="152"/>
      <c r="M59" s="152"/>
      <c r="N59" s="152"/>
      <c r="O59" s="152"/>
      <c r="P59" s="152"/>
      <c r="Q59" s="152"/>
      <c r="R59" s="209"/>
      <c r="S59" s="152"/>
      <c r="T59" s="164"/>
      <c r="U59" s="160"/>
      <c r="V59" s="6"/>
      <c r="W59" s="160"/>
      <c r="X59" s="160"/>
      <c r="Y59" s="160"/>
      <c r="Z59" s="160"/>
      <c r="AA59" s="160"/>
      <c r="AB59" s="219">
        <f t="shared" si="7"/>
        <v>120000</v>
      </c>
    </row>
    <row r="60" spans="2:28" ht="15">
      <c r="B60" s="133" t="s">
        <v>306</v>
      </c>
      <c r="C60" s="129" t="s">
        <v>207</v>
      </c>
      <c r="D60" s="153"/>
      <c r="E60" s="153"/>
      <c r="F60" s="152"/>
      <c r="G60" s="152"/>
      <c r="H60" s="153"/>
      <c r="I60" s="152"/>
      <c r="J60" s="152"/>
      <c r="K60" s="152"/>
      <c r="L60" s="152"/>
      <c r="M60" s="153"/>
      <c r="N60" s="153"/>
      <c r="O60" s="152"/>
      <c r="P60" s="152"/>
      <c r="Q60" s="152"/>
      <c r="R60" s="209"/>
      <c r="S60" s="152"/>
      <c r="T60" s="152"/>
      <c r="U60" s="152"/>
      <c r="V60" s="152"/>
      <c r="W60" s="152"/>
      <c r="X60" s="152"/>
      <c r="Y60" s="152"/>
      <c r="Z60" s="147"/>
      <c r="AA60" s="147"/>
      <c r="AB60" s="219">
        <f t="shared" si="7"/>
        <v>0</v>
      </c>
    </row>
    <row r="61" spans="2:28" s="128" customFormat="1">
      <c r="B61" s="133" t="s">
        <v>307</v>
      </c>
      <c r="C61" s="165" t="s">
        <v>204</v>
      </c>
      <c r="D61" s="166">
        <f>SUM(D54:D60)</f>
        <v>816000</v>
      </c>
      <c r="E61" s="166">
        <f t="shared" ref="E61:AA61" si="8">SUM(E54:E60)</f>
        <v>0</v>
      </c>
      <c r="F61" s="166">
        <f t="shared" si="8"/>
        <v>0</v>
      </c>
      <c r="G61" s="166">
        <f t="shared" si="8"/>
        <v>0</v>
      </c>
      <c r="H61" s="166">
        <f t="shared" si="8"/>
        <v>0</v>
      </c>
      <c r="I61" s="166">
        <f t="shared" si="8"/>
        <v>0</v>
      </c>
      <c r="J61" s="166">
        <f t="shared" si="8"/>
        <v>0</v>
      </c>
      <c r="K61" s="166">
        <f t="shared" si="8"/>
        <v>1200000</v>
      </c>
      <c r="L61" s="166">
        <f t="shared" si="8"/>
        <v>0</v>
      </c>
      <c r="M61" s="166">
        <f t="shared" si="8"/>
        <v>0</v>
      </c>
      <c r="N61" s="166">
        <f t="shared" si="8"/>
        <v>0</v>
      </c>
      <c r="O61" s="166">
        <f t="shared" si="8"/>
        <v>0</v>
      </c>
      <c r="P61" s="166">
        <f t="shared" si="8"/>
        <v>0</v>
      </c>
      <c r="Q61" s="166">
        <f t="shared" si="8"/>
        <v>0</v>
      </c>
      <c r="R61" s="166">
        <f t="shared" si="8"/>
        <v>6000000</v>
      </c>
      <c r="S61" s="166">
        <f t="shared" si="8"/>
        <v>0</v>
      </c>
      <c r="T61" s="166">
        <f t="shared" si="8"/>
        <v>4000000</v>
      </c>
      <c r="U61" s="166">
        <f t="shared" si="8"/>
        <v>300000</v>
      </c>
      <c r="V61" s="166">
        <f t="shared" si="8"/>
        <v>0</v>
      </c>
      <c r="W61" s="166">
        <f t="shared" si="8"/>
        <v>550000</v>
      </c>
      <c r="X61" s="166">
        <f t="shared" si="8"/>
        <v>500000</v>
      </c>
      <c r="Y61" s="166">
        <f t="shared" si="8"/>
        <v>3000000</v>
      </c>
      <c r="Z61" s="166">
        <f t="shared" si="8"/>
        <v>220000</v>
      </c>
      <c r="AA61" s="166">
        <f t="shared" si="8"/>
        <v>431000</v>
      </c>
      <c r="AB61" s="219">
        <f t="shared" si="7"/>
        <v>17017000</v>
      </c>
    </row>
    <row r="62" spans="2:28" ht="15">
      <c r="B62" s="133" t="s">
        <v>308</v>
      </c>
      <c r="C62" s="129" t="s">
        <v>208</v>
      </c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>
        <v>7955002</v>
      </c>
      <c r="P62" s="152"/>
      <c r="Q62" s="152"/>
      <c r="R62" s="209"/>
      <c r="S62" s="152"/>
      <c r="T62" s="152"/>
      <c r="U62" s="152"/>
      <c r="V62" s="152"/>
      <c r="W62" s="152"/>
      <c r="X62" s="152"/>
      <c r="Y62" s="152"/>
      <c r="Z62" s="152"/>
      <c r="AA62" s="152"/>
      <c r="AB62" s="219">
        <f t="shared" si="7"/>
        <v>7955002</v>
      </c>
    </row>
    <row r="63" spans="2:28" ht="15">
      <c r="B63" s="133" t="s">
        <v>309</v>
      </c>
      <c r="C63" s="129" t="s">
        <v>356</v>
      </c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209">
        <v>127204470</v>
      </c>
      <c r="S63" s="152"/>
      <c r="T63" s="152"/>
      <c r="U63" s="152"/>
      <c r="V63" s="152"/>
      <c r="W63" s="152"/>
      <c r="X63" s="152"/>
      <c r="Y63" s="152"/>
      <c r="Z63" s="152"/>
      <c r="AA63" s="152"/>
      <c r="AB63" s="219">
        <f t="shared" si="7"/>
        <v>127204470</v>
      </c>
    </row>
    <row r="64" spans="2:28" ht="15">
      <c r="B64" s="133" t="s">
        <v>310</v>
      </c>
      <c r="C64" s="129" t="s">
        <v>180</v>
      </c>
      <c r="D64" s="152">
        <v>500000</v>
      </c>
      <c r="E64" s="152"/>
      <c r="F64" s="152"/>
      <c r="G64" s="152"/>
      <c r="H64" s="152"/>
      <c r="I64" s="152"/>
      <c r="J64" s="152"/>
      <c r="K64" s="152">
        <v>63500</v>
      </c>
      <c r="L64" s="152"/>
      <c r="M64" s="152"/>
      <c r="N64" s="152"/>
      <c r="O64" s="152">
        <f>462389</f>
        <v>462389</v>
      </c>
      <c r="P64" s="152"/>
      <c r="Q64" s="152"/>
      <c r="R64" s="209">
        <v>27044000</v>
      </c>
      <c r="S64" s="152"/>
      <c r="T64" s="152"/>
      <c r="U64" s="152"/>
      <c r="V64" s="152"/>
      <c r="W64" s="152"/>
      <c r="X64" s="152"/>
      <c r="Y64" s="152"/>
      <c r="Z64" s="152"/>
      <c r="AA64" s="152"/>
      <c r="AB64" s="219">
        <f t="shared" si="7"/>
        <v>28069889</v>
      </c>
    </row>
    <row r="65" spans="2:29" s="128" customFormat="1">
      <c r="B65" s="133" t="s">
        <v>311</v>
      </c>
      <c r="C65" s="167" t="s">
        <v>204</v>
      </c>
      <c r="D65" s="168">
        <f>SUM(D62:D64)</f>
        <v>500000</v>
      </c>
      <c r="E65" s="168">
        <f t="shared" ref="E65:AA65" si="9">SUM(E62:E64)</f>
        <v>0</v>
      </c>
      <c r="F65" s="168">
        <f t="shared" si="9"/>
        <v>0</v>
      </c>
      <c r="G65" s="168">
        <f t="shared" si="9"/>
        <v>0</v>
      </c>
      <c r="H65" s="168">
        <f t="shared" si="9"/>
        <v>0</v>
      </c>
      <c r="I65" s="168">
        <f t="shared" si="9"/>
        <v>0</v>
      </c>
      <c r="J65" s="168">
        <f t="shared" si="9"/>
        <v>0</v>
      </c>
      <c r="K65" s="168">
        <f t="shared" si="9"/>
        <v>63500</v>
      </c>
      <c r="L65" s="168">
        <f t="shared" si="9"/>
        <v>0</v>
      </c>
      <c r="M65" s="168">
        <f t="shared" si="9"/>
        <v>0</v>
      </c>
      <c r="N65" s="168">
        <f t="shared" si="9"/>
        <v>0</v>
      </c>
      <c r="O65" s="168">
        <f t="shared" si="9"/>
        <v>8417391</v>
      </c>
      <c r="P65" s="168">
        <f t="shared" si="9"/>
        <v>0</v>
      </c>
      <c r="Q65" s="168">
        <f t="shared" si="9"/>
        <v>0</v>
      </c>
      <c r="R65" s="168">
        <f t="shared" si="9"/>
        <v>154248470</v>
      </c>
      <c r="S65" s="168">
        <f t="shared" si="9"/>
        <v>0</v>
      </c>
      <c r="T65" s="168">
        <f t="shared" si="9"/>
        <v>0</v>
      </c>
      <c r="U65" s="168">
        <f t="shared" si="9"/>
        <v>0</v>
      </c>
      <c r="V65" s="168">
        <f t="shared" si="9"/>
        <v>0</v>
      </c>
      <c r="W65" s="168">
        <f t="shared" si="9"/>
        <v>0</v>
      </c>
      <c r="X65" s="168">
        <f t="shared" si="9"/>
        <v>0</v>
      </c>
      <c r="Y65" s="168">
        <f t="shared" si="9"/>
        <v>0</v>
      </c>
      <c r="Z65" s="168">
        <f t="shared" si="9"/>
        <v>0</v>
      </c>
      <c r="AA65" s="168">
        <f t="shared" si="9"/>
        <v>0</v>
      </c>
      <c r="AB65" s="219">
        <f t="shared" si="7"/>
        <v>163229361</v>
      </c>
    </row>
    <row r="66" spans="2:29" s="128" customFormat="1" ht="15">
      <c r="B66" s="133" t="s">
        <v>312</v>
      </c>
      <c r="C66" s="167" t="s">
        <v>278</v>
      </c>
      <c r="D66" s="168"/>
      <c r="E66" s="168">
        <v>1196445</v>
      </c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210"/>
      <c r="S66" s="168"/>
      <c r="T66" s="168"/>
      <c r="U66" s="168"/>
      <c r="V66" s="168"/>
      <c r="W66" s="168"/>
      <c r="X66" s="168"/>
      <c r="Y66" s="168"/>
      <c r="Z66" s="168"/>
      <c r="AA66" s="168"/>
      <c r="AB66" s="219">
        <f t="shared" si="7"/>
        <v>1196445</v>
      </c>
    </row>
    <row r="67" spans="2:29" s="128" customFormat="1" ht="15">
      <c r="B67" s="133" t="s">
        <v>313</v>
      </c>
      <c r="C67" s="167" t="s">
        <v>276</v>
      </c>
      <c r="D67" s="168">
        <v>6000000</v>
      </c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210"/>
      <c r="S67" s="168"/>
      <c r="T67" s="168"/>
      <c r="U67" s="168"/>
      <c r="V67" s="168"/>
      <c r="W67" s="168"/>
      <c r="X67" s="168"/>
      <c r="Y67" s="168"/>
      <c r="Z67" s="168"/>
      <c r="AA67" s="168"/>
      <c r="AB67" s="219">
        <f t="shared" si="7"/>
        <v>6000000</v>
      </c>
    </row>
    <row r="68" spans="2:29" s="128" customFormat="1">
      <c r="B68" s="133" t="s">
        <v>314</v>
      </c>
      <c r="C68" s="165" t="s">
        <v>209</v>
      </c>
      <c r="D68" s="140">
        <f>SUM(D13+D17+D53+D61+D65+D67)</f>
        <v>33833680</v>
      </c>
      <c r="E68" s="140">
        <f>SUM(E13+E17+E53+E61+E65+E66)+E67</f>
        <v>1196445</v>
      </c>
      <c r="F68" s="140">
        <f t="shared" ref="F68:AA68" si="10">SUM(F13+F17+F53+F61+F65)</f>
        <v>14601148</v>
      </c>
      <c r="G68" s="140">
        <f t="shared" si="10"/>
        <v>3455918</v>
      </c>
      <c r="H68" s="140">
        <f t="shared" si="10"/>
        <v>2958000</v>
      </c>
      <c r="I68" s="140">
        <f t="shared" si="10"/>
        <v>0</v>
      </c>
      <c r="J68" s="140">
        <f>SUM(J13+J17+J53+J61+J65)</f>
        <v>5374869</v>
      </c>
      <c r="K68" s="140">
        <f t="shared" si="10"/>
        <v>9583100</v>
      </c>
      <c r="L68" s="140">
        <f t="shared" si="10"/>
        <v>2958972</v>
      </c>
      <c r="M68" s="140">
        <f t="shared" si="10"/>
        <v>3409972</v>
      </c>
      <c r="N68" s="140">
        <f t="shared" si="10"/>
        <v>3292000</v>
      </c>
      <c r="O68" s="140">
        <f t="shared" si="10"/>
        <v>69735287</v>
      </c>
      <c r="P68" s="140">
        <f t="shared" si="10"/>
        <v>2140000</v>
      </c>
      <c r="Q68" s="140">
        <f t="shared" si="10"/>
        <v>4576000</v>
      </c>
      <c r="R68" s="140">
        <f t="shared" si="10"/>
        <v>167924470</v>
      </c>
      <c r="S68" s="140">
        <f t="shared" si="10"/>
        <v>31001493</v>
      </c>
      <c r="T68" s="140">
        <f t="shared" si="10"/>
        <v>4000000</v>
      </c>
      <c r="U68" s="140">
        <f t="shared" si="10"/>
        <v>300000</v>
      </c>
      <c r="V68" s="140">
        <f t="shared" si="10"/>
        <v>12289380</v>
      </c>
      <c r="W68" s="140">
        <f t="shared" si="10"/>
        <v>550000</v>
      </c>
      <c r="X68" s="140">
        <f t="shared" si="10"/>
        <v>500000</v>
      </c>
      <c r="Y68" s="140">
        <f t="shared" si="10"/>
        <v>3000000</v>
      </c>
      <c r="Z68" s="140">
        <f t="shared" si="10"/>
        <v>220000</v>
      </c>
      <c r="AA68" s="140">
        <f t="shared" si="10"/>
        <v>431000</v>
      </c>
      <c r="AB68" s="219">
        <f>SUM(D68:AA68)</f>
        <v>377331734</v>
      </c>
      <c r="AC68" s="169"/>
    </row>
    <row r="69" spans="2:29" ht="15">
      <c r="B69" s="133" t="s">
        <v>315</v>
      </c>
      <c r="C69" s="129" t="s">
        <v>210</v>
      </c>
      <c r="D69" s="152"/>
      <c r="E69" s="152"/>
      <c r="F69" s="155">
        <v>5</v>
      </c>
      <c r="G69" s="155">
        <v>0</v>
      </c>
      <c r="H69" s="170">
        <v>0</v>
      </c>
      <c r="I69" s="155"/>
      <c r="J69" s="155">
        <v>2</v>
      </c>
      <c r="K69" s="155">
        <v>0</v>
      </c>
      <c r="L69" s="155">
        <v>1</v>
      </c>
      <c r="M69" s="155">
        <v>1</v>
      </c>
      <c r="N69" s="155"/>
      <c r="O69" s="155">
        <v>45</v>
      </c>
      <c r="P69" s="170">
        <v>0</v>
      </c>
      <c r="Q69" s="170">
        <v>0</v>
      </c>
      <c r="R69" s="209"/>
      <c r="S69" s="170">
        <v>1</v>
      </c>
      <c r="T69" s="170"/>
      <c r="U69" s="170"/>
      <c r="V69" s="170">
        <v>3</v>
      </c>
      <c r="W69" s="170"/>
      <c r="X69" s="170"/>
      <c r="Y69" s="170"/>
      <c r="Z69" s="170">
        <v>0</v>
      </c>
      <c r="AA69" s="170"/>
      <c r="AB69" s="282">
        <f>D69+F69+G69+I69+J69+K69+L69+M69+O69+V69+S69</f>
        <v>58</v>
      </c>
    </row>
    <row r="70" spans="2:29">
      <c r="B70" s="55"/>
      <c r="D70" s="172"/>
      <c r="I70" s="130"/>
      <c r="J70" s="130"/>
      <c r="K70" s="130"/>
      <c r="M70" s="130"/>
      <c r="S70" s="171"/>
      <c r="T70" s="171"/>
      <c r="U70" s="171"/>
      <c r="V70" s="171"/>
      <c r="W70" s="171"/>
      <c r="X70" s="171"/>
      <c r="Y70" s="171"/>
      <c r="Z70" s="171"/>
      <c r="AA70" s="171"/>
      <c r="AB70" s="220"/>
    </row>
    <row r="71" spans="2:29" ht="19.5" customHeight="1">
      <c r="D71" s="172"/>
      <c r="E71" s="172"/>
      <c r="I71" s="130"/>
      <c r="J71" s="130"/>
      <c r="S71" s="171"/>
      <c r="T71" s="171"/>
      <c r="U71" s="171"/>
      <c r="V71" s="171"/>
      <c r="W71" s="171"/>
      <c r="X71" s="171"/>
      <c r="Y71" s="171"/>
      <c r="Z71" s="171"/>
      <c r="AA71" s="171"/>
      <c r="AB71" s="221"/>
      <c r="AC71" s="173"/>
    </row>
    <row r="72" spans="2:29">
      <c r="D72" s="172"/>
      <c r="E72" s="172"/>
      <c r="S72" s="171"/>
      <c r="T72" s="171"/>
      <c r="U72" s="171"/>
      <c r="V72" s="171"/>
      <c r="W72" s="171"/>
      <c r="X72" s="171"/>
      <c r="Y72" s="171"/>
      <c r="Z72" s="171"/>
      <c r="AA72" s="171"/>
      <c r="AB72" s="220"/>
    </row>
    <row r="73" spans="2:29">
      <c r="E73" s="172"/>
      <c r="S73" s="171"/>
      <c r="T73" s="171"/>
      <c r="U73" s="171"/>
      <c r="V73" s="171"/>
      <c r="W73" s="171"/>
      <c r="X73" s="171"/>
      <c r="Y73" s="171"/>
      <c r="Z73" s="171"/>
      <c r="AA73" s="171"/>
    </row>
    <row r="74" spans="2:29">
      <c r="S74" s="171"/>
      <c r="T74" s="171"/>
      <c r="U74" s="171"/>
      <c r="V74" s="171"/>
      <c r="W74" s="171"/>
      <c r="X74" s="171"/>
      <c r="Y74" s="171"/>
      <c r="Z74" s="171"/>
      <c r="AA74" s="171"/>
    </row>
    <row r="75" spans="2:29">
      <c r="E75" s="172"/>
      <c r="S75" s="171"/>
      <c r="T75" s="171"/>
      <c r="U75" s="171"/>
      <c r="V75" s="171"/>
      <c r="W75" s="171"/>
      <c r="X75" s="171"/>
      <c r="Y75" s="171"/>
      <c r="Z75" s="171"/>
      <c r="AA75" s="171"/>
    </row>
    <row r="76" spans="2:29">
      <c r="D76" s="172"/>
      <c r="E76" s="172"/>
      <c r="S76" s="171"/>
      <c r="T76" s="171"/>
      <c r="U76" s="171"/>
      <c r="V76" s="171"/>
      <c r="W76" s="171"/>
      <c r="X76" s="171"/>
      <c r="Y76" s="171"/>
      <c r="Z76" s="171"/>
      <c r="AA76" s="171"/>
    </row>
    <row r="77" spans="2:29">
      <c r="S77" s="171"/>
      <c r="T77" s="171"/>
      <c r="U77" s="171"/>
      <c r="V77" s="171"/>
      <c r="W77" s="171"/>
      <c r="X77" s="171"/>
      <c r="Y77" s="171"/>
      <c r="Z77" s="171"/>
      <c r="AA77" s="171"/>
    </row>
    <row r="78" spans="2:29">
      <c r="D78" s="172"/>
      <c r="S78" s="171"/>
      <c r="T78" s="171"/>
      <c r="U78" s="171"/>
      <c r="V78" s="171"/>
      <c r="W78" s="171"/>
      <c r="X78" s="171"/>
      <c r="Y78" s="171"/>
      <c r="Z78" s="171"/>
      <c r="AA78" s="171"/>
    </row>
    <row r="79" spans="2:29">
      <c r="D79" s="172"/>
      <c r="S79" s="171"/>
      <c r="T79" s="171"/>
      <c r="U79" s="171"/>
      <c r="V79" s="171"/>
      <c r="W79" s="171"/>
      <c r="X79" s="171"/>
      <c r="Y79" s="171"/>
      <c r="Z79" s="171"/>
      <c r="AA79" s="171"/>
    </row>
    <row r="80" spans="2:29">
      <c r="E80" s="172"/>
      <c r="S80" s="171"/>
      <c r="T80" s="171"/>
      <c r="U80" s="171"/>
      <c r="V80" s="171"/>
      <c r="W80" s="171"/>
      <c r="X80" s="171"/>
      <c r="Y80" s="171"/>
      <c r="Z80" s="171"/>
      <c r="AA80" s="171"/>
    </row>
    <row r="81" spans="1:29" s="128" customFormat="1">
      <c r="A81" s="122"/>
      <c r="B81" s="122"/>
      <c r="C81" s="123"/>
      <c r="E81" s="124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71"/>
      <c r="T81" s="171"/>
      <c r="U81" s="171"/>
      <c r="V81" s="171"/>
      <c r="W81" s="171"/>
      <c r="X81" s="171"/>
      <c r="Y81" s="171"/>
      <c r="Z81" s="171"/>
      <c r="AA81" s="171"/>
      <c r="AB81" s="216"/>
      <c r="AC81" s="122"/>
    </row>
    <row r="82" spans="1:29" s="128" customFormat="1">
      <c r="A82" s="122"/>
      <c r="B82" s="122"/>
      <c r="C82" s="123"/>
      <c r="E82" s="17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71"/>
      <c r="T82" s="171"/>
      <c r="U82" s="171"/>
      <c r="V82" s="171"/>
      <c r="W82" s="171"/>
      <c r="X82" s="171"/>
      <c r="Y82" s="171"/>
      <c r="Z82" s="171"/>
      <c r="AA82" s="171"/>
      <c r="AB82" s="216"/>
      <c r="AC82" s="122"/>
    </row>
    <row r="83" spans="1:29" s="128" customFormat="1">
      <c r="A83" s="122"/>
      <c r="B83" s="122"/>
      <c r="C83" s="123"/>
      <c r="E83" s="17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71"/>
      <c r="T83" s="171"/>
      <c r="U83" s="171"/>
      <c r="V83" s="171"/>
      <c r="W83" s="171"/>
      <c r="X83" s="171"/>
      <c r="Y83" s="171"/>
      <c r="Z83" s="171"/>
      <c r="AA83" s="171"/>
      <c r="AB83" s="216"/>
      <c r="AC83" s="122"/>
    </row>
  </sheetData>
  <mergeCells count="3">
    <mergeCell ref="A1:R1"/>
    <mergeCell ref="Z1:AB1"/>
    <mergeCell ref="A2:AB2"/>
  </mergeCells>
  <pageMargins left="0.23622047244094491" right="0.23622047244094491" top="0.74803149606299213" bottom="0.74803149606299213" header="0.31496062992125984" footer="0.31496062992125984"/>
  <pageSetup paperSize="8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9"/>
  <sheetViews>
    <sheetView workbookViewId="0">
      <selection activeCell="C11" sqref="C11"/>
    </sheetView>
  </sheetViews>
  <sheetFormatPr defaultRowHeight="15"/>
  <cols>
    <col min="1" max="1" width="19.140625" customWidth="1"/>
    <col min="2" max="2" width="41.5703125" customWidth="1"/>
    <col min="3" max="3" width="77.42578125" customWidth="1"/>
  </cols>
  <sheetData>
    <row r="1" spans="1:3">
      <c r="A1" s="345" t="s">
        <v>371</v>
      </c>
      <c r="B1" s="345"/>
      <c r="C1" s="345"/>
    </row>
    <row r="2" spans="1:3" ht="15.75" thickBot="1">
      <c r="A2" s="333" t="s">
        <v>28</v>
      </c>
      <c r="B2" s="333"/>
      <c r="C2" s="42" t="s">
        <v>347</v>
      </c>
    </row>
    <row r="3" spans="1:3" ht="15.75" thickBot="1">
      <c r="A3" s="318" t="s">
        <v>48</v>
      </c>
      <c r="B3" s="319"/>
      <c r="C3" s="50">
        <v>377331734</v>
      </c>
    </row>
    <row r="4" spans="1:3" ht="15.75" thickBot="1">
      <c r="A4" s="47"/>
      <c r="B4" s="47" t="s">
        <v>72</v>
      </c>
      <c r="C4" s="283">
        <f>'Bevételek - mérleg'!C31</f>
        <v>189342440</v>
      </c>
    </row>
    <row r="5" spans="1:3" ht="15.75" thickBot="1">
      <c r="A5" s="318" t="s">
        <v>73</v>
      </c>
      <c r="B5" s="319"/>
      <c r="C5" s="50">
        <f>'Kiadások - mérleg'!C25</f>
        <v>377331734</v>
      </c>
    </row>
    <row r="6" spans="1:3">
      <c r="A6" s="43"/>
      <c r="B6" s="43" t="s">
        <v>74</v>
      </c>
      <c r="C6" s="117">
        <f>C5-C7</f>
        <v>376135289</v>
      </c>
    </row>
    <row r="7" spans="1:3" ht="15.75" thickBot="1">
      <c r="A7" s="42"/>
      <c r="B7" s="42" t="s">
        <v>75</v>
      </c>
      <c r="C7" s="42">
        <v>1196445</v>
      </c>
    </row>
    <row r="8" spans="1:3" ht="15.75" thickBot="1">
      <c r="A8" s="51" t="s">
        <v>369</v>
      </c>
      <c r="B8" s="52"/>
      <c r="C8" s="118">
        <f>SUM(C4-C6)</f>
        <v>-186792849</v>
      </c>
    </row>
    <row r="9" spans="1:3">
      <c r="A9" s="346" t="s">
        <v>370</v>
      </c>
      <c r="B9" s="346"/>
      <c r="C9" s="43"/>
    </row>
    <row r="10" spans="1:3">
      <c r="A10" s="332" t="s">
        <v>76</v>
      </c>
      <c r="B10" s="332"/>
      <c r="C10" s="35"/>
    </row>
    <row r="11" spans="1:3">
      <c r="A11" s="332" t="s">
        <v>77</v>
      </c>
      <c r="B11" s="332"/>
      <c r="C11" s="34">
        <f>SUM(C12:C13)</f>
        <v>186792849</v>
      </c>
    </row>
    <row r="12" spans="1:3">
      <c r="A12" s="35"/>
      <c r="B12" s="35" t="s">
        <v>78</v>
      </c>
      <c r="C12" s="35">
        <f>45055912+14439312-1196445</f>
        <v>58298779</v>
      </c>
    </row>
    <row r="13" spans="1:3">
      <c r="A13" s="35"/>
      <c r="B13" s="35" t="s">
        <v>79</v>
      </c>
      <c r="C13" s="35">
        <v>128494070</v>
      </c>
    </row>
    <row r="14" spans="1:3">
      <c r="A14" s="332" t="s">
        <v>367</v>
      </c>
      <c r="B14" s="332"/>
      <c r="C14" s="35">
        <f>SUM(C15:C16)</f>
        <v>0</v>
      </c>
    </row>
    <row r="15" spans="1:3">
      <c r="A15" s="35"/>
      <c r="B15" s="35" t="s">
        <v>78</v>
      </c>
      <c r="C15" s="35"/>
    </row>
    <row r="16" spans="1:3">
      <c r="A16" s="35"/>
      <c r="B16" s="35" t="s">
        <v>80</v>
      </c>
      <c r="C16" s="35"/>
    </row>
    <row r="17" spans="1:3">
      <c r="A17" s="332" t="s">
        <v>81</v>
      </c>
      <c r="B17" s="332"/>
      <c r="C17" s="35">
        <f>SUM(C18)</f>
        <v>0</v>
      </c>
    </row>
    <row r="18" spans="1:3" ht="15.75" thickBot="1">
      <c r="A18" s="42"/>
      <c r="B18" s="53" t="s">
        <v>82</v>
      </c>
      <c r="C18" s="42"/>
    </row>
    <row r="19" spans="1:3" ht="15.75" thickBot="1">
      <c r="A19" s="334" t="s">
        <v>83</v>
      </c>
      <c r="B19" s="335"/>
      <c r="C19" s="54">
        <f>SUM(C11,C14,C17)</f>
        <v>186792849</v>
      </c>
    </row>
  </sheetData>
  <mergeCells count="10">
    <mergeCell ref="A11:B11"/>
    <mergeCell ref="A14:B14"/>
    <mergeCell ref="A17:B17"/>
    <mergeCell ref="A19:B19"/>
    <mergeCell ref="A1:C1"/>
    <mergeCell ref="A2:B2"/>
    <mergeCell ref="A3:B3"/>
    <mergeCell ref="A5:B5"/>
    <mergeCell ref="A9:B9"/>
    <mergeCell ref="A10:B10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topLeftCell="A13" workbookViewId="0">
      <selection activeCell="C35" sqref="C35"/>
    </sheetView>
  </sheetViews>
  <sheetFormatPr defaultRowHeight="15"/>
  <cols>
    <col min="1" max="1" width="79.7109375" customWidth="1"/>
    <col min="2" max="2" width="18.140625" customWidth="1"/>
    <col min="3" max="3" width="47.85546875" customWidth="1"/>
    <col min="4" max="4" width="22.140625" customWidth="1"/>
  </cols>
  <sheetData>
    <row r="1" spans="1:4" ht="15.75" thickBot="1">
      <c r="A1" s="347" t="s">
        <v>345</v>
      </c>
      <c r="B1" s="348"/>
      <c r="C1" s="348"/>
      <c r="D1" s="349"/>
    </row>
    <row r="2" spans="1:4">
      <c r="A2" s="58" t="s">
        <v>26</v>
      </c>
      <c r="B2" s="59" t="s">
        <v>352</v>
      </c>
      <c r="C2" s="59" t="s">
        <v>84</v>
      </c>
      <c r="D2" s="60" t="s">
        <v>352</v>
      </c>
    </row>
    <row r="3" spans="1:4">
      <c r="A3" s="61" t="s">
        <v>40</v>
      </c>
      <c r="B3" s="86">
        <f>SUM(B4:B8)</f>
        <v>35403046</v>
      </c>
      <c r="C3" s="61" t="s">
        <v>53</v>
      </c>
      <c r="D3" s="100">
        <f>'Kiadások - mérleg'!C6</f>
        <v>87856040</v>
      </c>
    </row>
    <row r="4" spans="1:4">
      <c r="A4" s="62" t="s">
        <v>37</v>
      </c>
      <c r="B4" s="39">
        <f>'Bevételek - mérleg'!C16</f>
        <v>17468496</v>
      </c>
      <c r="C4" s="61" t="s">
        <v>95</v>
      </c>
      <c r="D4" s="100">
        <f>'Kiadások - mérleg'!C7</f>
        <v>13316432</v>
      </c>
    </row>
    <row r="5" spans="1:4">
      <c r="A5" s="62" t="s">
        <v>38</v>
      </c>
      <c r="B5" s="39">
        <f>'Bevételek - mérleg'!C17</f>
        <v>9001000</v>
      </c>
      <c r="C5" s="61" t="s">
        <v>55</v>
      </c>
      <c r="D5" s="100">
        <f>'Kiadások - mérleg'!C8</f>
        <v>88716456</v>
      </c>
    </row>
    <row r="6" spans="1:4">
      <c r="A6" s="62" t="s">
        <v>85</v>
      </c>
      <c r="B6" s="39">
        <f>'Bevételek - mérleg'!C18</f>
        <v>1800000</v>
      </c>
      <c r="C6" s="61" t="s">
        <v>56</v>
      </c>
      <c r="D6" s="100">
        <f>'Kiadások - mérleg'!C9</f>
        <v>9001000</v>
      </c>
    </row>
    <row r="7" spans="1:4">
      <c r="A7" s="62"/>
      <c r="B7" s="55">
        <v>0</v>
      </c>
      <c r="C7" s="61" t="s">
        <v>57</v>
      </c>
      <c r="D7" s="100">
        <f>'Kiadások - mérleg'!C10</f>
        <v>8016000</v>
      </c>
    </row>
    <row r="8" spans="1:4" s="2" customFormat="1">
      <c r="A8" s="111" t="s">
        <v>132</v>
      </c>
      <c r="B8" s="248">
        <f>'Bevételek - mérleg'!C19</f>
        <v>7133550</v>
      </c>
      <c r="C8" s="61"/>
      <c r="D8" s="100"/>
    </row>
    <row r="9" spans="1:4">
      <c r="A9" s="61" t="s">
        <v>42</v>
      </c>
      <c r="B9" s="85">
        <f>SUM(B10:B14)</f>
        <v>42691000</v>
      </c>
      <c r="C9" s="55"/>
      <c r="D9" s="101"/>
    </row>
    <row r="10" spans="1:4">
      <c r="A10" s="62" t="s">
        <v>29</v>
      </c>
      <c r="B10" s="36">
        <f>'Bevételek - mérleg'!C6+'Bevételek - mérleg'!C11</f>
        <v>38631000</v>
      </c>
      <c r="C10" s="55"/>
      <c r="D10" s="101"/>
    </row>
    <row r="11" spans="1:4">
      <c r="A11" s="62" t="s">
        <v>33</v>
      </c>
      <c r="B11" s="55">
        <f>'Bevételek - mérleg'!C10</f>
        <v>880000</v>
      </c>
      <c r="C11" s="55"/>
      <c r="D11" s="101"/>
    </row>
    <row r="12" spans="1:4">
      <c r="A12" s="62" t="s">
        <v>35</v>
      </c>
      <c r="B12" s="55">
        <f>'Bevételek - mérleg'!C12</f>
        <v>3000000</v>
      </c>
      <c r="C12" s="55"/>
      <c r="D12" s="101"/>
    </row>
    <row r="13" spans="1:4">
      <c r="A13" s="62" t="s">
        <v>36</v>
      </c>
      <c r="B13" s="55">
        <f>'Bevételek - mérleg'!C14</f>
        <v>180000</v>
      </c>
      <c r="C13" s="55"/>
      <c r="D13" s="101"/>
    </row>
    <row r="14" spans="1:4">
      <c r="A14" s="62" t="s">
        <v>86</v>
      </c>
      <c r="B14" s="55">
        <v>0</v>
      </c>
      <c r="C14" s="55"/>
      <c r="D14" s="101"/>
    </row>
    <row r="15" spans="1:4">
      <c r="A15" s="61" t="s">
        <v>43</v>
      </c>
      <c r="B15" s="85">
        <f>'Bevételek - mérleg'!C27</f>
        <v>17931130</v>
      </c>
      <c r="C15" s="55"/>
      <c r="D15" s="101"/>
    </row>
    <row r="16" spans="1:4">
      <c r="A16" s="61" t="s">
        <v>40</v>
      </c>
      <c r="B16" s="86">
        <f>'Bevételek - mérleg'!C21+'Bevételek - mérleg'!C24</f>
        <v>83500051</v>
      </c>
      <c r="C16" s="55"/>
      <c r="D16" s="101"/>
    </row>
    <row r="17" spans="1:4" ht="15.75" thickBot="1">
      <c r="A17" s="63" t="s">
        <v>87</v>
      </c>
      <c r="B17" s="87">
        <v>0</v>
      </c>
      <c r="C17" s="64"/>
      <c r="D17" s="102"/>
    </row>
    <row r="18" spans="1:4" ht="15.75" thickBot="1">
      <c r="A18" s="56" t="s">
        <v>88</v>
      </c>
      <c r="B18" s="88">
        <f>SUM(B3,B9,B15,B16,B17)</f>
        <v>179525227</v>
      </c>
      <c r="C18" s="56" t="s">
        <v>88</v>
      </c>
      <c r="D18" s="103">
        <f>SUM(D3:D7)</f>
        <v>206905928</v>
      </c>
    </row>
    <row r="19" spans="1:4">
      <c r="A19" s="66" t="s">
        <v>41</v>
      </c>
      <c r="B19" s="66">
        <f>'Bevételek - mérleg'!C26</f>
        <v>9817213</v>
      </c>
      <c r="C19" s="66" t="s">
        <v>96</v>
      </c>
      <c r="D19" s="104">
        <f>'Kiadások - mérleg'!C14</f>
        <v>36024891</v>
      </c>
    </row>
    <row r="20" spans="1:4">
      <c r="A20" s="61" t="s">
        <v>44</v>
      </c>
      <c r="B20" s="55">
        <v>0</v>
      </c>
      <c r="C20" s="61" t="s">
        <v>97</v>
      </c>
      <c r="D20" s="100">
        <f>'Kiadások - mérleg'!C16</f>
        <v>127204470</v>
      </c>
    </row>
    <row r="21" spans="1:4">
      <c r="A21" s="61" t="s">
        <v>45</v>
      </c>
      <c r="B21" s="55">
        <v>0</v>
      </c>
      <c r="C21" s="61" t="s">
        <v>58</v>
      </c>
      <c r="D21" s="100">
        <v>0</v>
      </c>
    </row>
    <row r="22" spans="1:4" ht="15.75" thickBot="1">
      <c r="A22" s="67" t="s">
        <v>89</v>
      </c>
      <c r="B22" s="64"/>
      <c r="C22" s="64"/>
      <c r="D22" s="102"/>
    </row>
    <row r="23" spans="1:4" ht="15.75" thickBot="1">
      <c r="A23" s="56" t="s">
        <v>98</v>
      </c>
      <c r="B23" s="57">
        <f>SUM(B19:B22)</f>
        <v>9817213</v>
      </c>
      <c r="C23" s="56" t="s">
        <v>98</v>
      </c>
      <c r="D23" s="103">
        <f>SUM(D19:D22)</f>
        <v>163229361</v>
      </c>
    </row>
    <row r="24" spans="1:4">
      <c r="A24" s="66" t="s">
        <v>90</v>
      </c>
      <c r="B24" s="65">
        <f>'Bevételek - mérleg'!C35</f>
        <v>1196445</v>
      </c>
      <c r="C24" s="66" t="s">
        <v>75</v>
      </c>
      <c r="D24" s="104">
        <f>'Kiadások - mérleg'!C24</f>
        <v>1196445</v>
      </c>
    </row>
    <row r="25" spans="1:4">
      <c r="A25" s="61" t="s">
        <v>91</v>
      </c>
      <c r="B25" s="55">
        <v>0</v>
      </c>
      <c r="C25" s="61" t="s">
        <v>70</v>
      </c>
      <c r="D25" s="100">
        <v>0</v>
      </c>
    </row>
    <row r="26" spans="1:4">
      <c r="A26" s="61" t="s">
        <v>47</v>
      </c>
      <c r="B26" s="61">
        <f>'Bevételek - mérleg'!C34</f>
        <v>186792849</v>
      </c>
      <c r="C26" s="55"/>
      <c r="D26" s="101"/>
    </row>
    <row r="27" spans="1:4">
      <c r="A27" s="68" t="s">
        <v>92</v>
      </c>
      <c r="B27" s="55">
        <f>B26-B28</f>
        <v>58298779</v>
      </c>
      <c r="C27" s="55"/>
      <c r="D27" s="101"/>
    </row>
    <row r="28" spans="1:4" ht="15.75" thickBot="1">
      <c r="A28" s="67" t="s">
        <v>93</v>
      </c>
      <c r="B28" s="64">
        <f>128494070</f>
        <v>128494070</v>
      </c>
      <c r="C28" s="64"/>
      <c r="D28" s="102"/>
    </row>
    <row r="29" spans="1:4" ht="15.75" thickBot="1">
      <c r="A29" s="56" t="s">
        <v>141</v>
      </c>
      <c r="B29" s="107">
        <f>SUM(B24:B26)</f>
        <v>187989294</v>
      </c>
      <c r="C29" s="108" t="s">
        <v>141</v>
      </c>
      <c r="D29" s="103">
        <f>SUM(D24:D28)</f>
        <v>1196445</v>
      </c>
    </row>
    <row r="30" spans="1:4" ht="15.75" thickBot="1">
      <c r="A30" s="105" t="s">
        <v>94</v>
      </c>
      <c r="B30" s="106">
        <v>0</v>
      </c>
      <c r="C30" s="105" t="s">
        <v>94</v>
      </c>
      <c r="D30" s="93">
        <f>'Kiadások - mérleg'!C18</f>
        <v>6000000</v>
      </c>
    </row>
    <row r="31" spans="1:4" ht="15.75" thickBot="1">
      <c r="A31" s="69" t="s">
        <v>50</v>
      </c>
      <c r="B31" s="110">
        <f>SUM(B18,B23,B29)</f>
        <v>377331734</v>
      </c>
      <c r="C31" s="69" t="s">
        <v>71</v>
      </c>
      <c r="D31" s="109">
        <f>SUM(D18,D23,D29,D30)</f>
        <v>377331734</v>
      </c>
    </row>
  </sheetData>
  <mergeCells count="1">
    <mergeCell ref="A1:D1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6"/>
  <sheetViews>
    <sheetView topLeftCell="A10" workbookViewId="0">
      <selection activeCell="G26" sqref="G26"/>
    </sheetView>
  </sheetViews>
  <sheetFormatPr defaultRowHeight="15"/>
  <cols>
    <col min="1" max="1" width="41.5703125" customWidth="1"/>
    <col min="2" max="2" width="11.28515625" customWidth="1"/>
    <col min="3" max="3" width="12" customWidth="1"/>
    <col min="4" max="4" width="13.28515625" customWidth="1"/>
    <col min="5" max="5" width="12.5703125" customWidth="1"/>
  </cols>
  <sheetData>
    <row r="1" spans="1:5">
      <c r="A1" s="350" t="s">
        <v>99</v>
      </c>
      <c r="B1" s="350"/>
      <c r="C1" s="350"/>
      <c r="D1" s="350"/>
      <c r="E1" s="350"/>
    </row>
    <row r="2" spans="1:5" ht="15.75" thickBot="1">
      <c r="A2" s="71" t="s">
        <v>28</v>
      </c>
      <c r="B2" s="71" t="s">
        <v>100</v>
      </c>
      <c r="C2" s="71" t="s">
        <v>101</v>
      </c>
      <c r="D2" s="71" t="s">
        <v>144</v>
      </c>
      <c r="E2" s="71" t="s">
        <v>348</v>
      </c>
    </row>
    <row r="3" spans="1:5" ht="15.75" thickBot="1">
      <c r="A3" s="73" t="s">
        <v>113</v>
      </c>
      <c r="B3" s="74">
        <f>B10-B18</f>
        <v>30918078</v>
      </c>
      <c r="C3" s="287">
        <f t="shared" ref="C3:E3" si="0">C10-C18</f>
        <v>34009885.800000012</v>
      </c>
      <c r="D3" s="287">
        <f t="shared" si="0"/>
        <v>37410874.379999995</v>
      </c>
      <c r="E3" s="74">
        <f t="shared" si="0"/>
        <v>39281418.098999977</v>
      </c>
    </row>
    <row r="4" spans="1:5">
      <c r="A4" s="72" t="s">
        <v>40</v>
      </c>
      <c r="B4" s="251">
        <f>'Bevételek - mérleg'!C15</f>
        <v>35403046</v>
      </c>
      <c r="C4" s="254">
        <f>B4*1.1</f>
        <v>38943350.600000001</v>
      </c>
      <c r="D4" s="254">
        <f>C4*1.1</f>
        <v>42837685.660000004</v>
      </c>
      <c r="E4" s="72">
        <f>D4*1.05</f>
        <v>44979569.943000004</v>
      </c>
    </row>
    <row r="5" spans="1:5">
      <c r="A5" s="70" t="s">
        <v>42</v>
      </c>
      <c r="B5" s="70">
        <v>42691000</v>
      </c>
      <c r="C5" s="254">
        <f t="shared" ref="C5:D18" si="1">B5*1.1</f>
        <v>46960100.000000007</v>
      </c>
      <c r="D5" s="254">
        <f t="shared" si="1"/>
        <v>51656110.000000015</v>
      </c>
      <c r="E5" s="72">
        <f t="shared" ref="E5:E18" si="2">D5*1.05</f>
        <v>54238915.500000015</v>
      </c>
    </row>
    <row r="6" spans="1:5">
      <c r="A6" s="70" t="s">
        <v>43</v>
      </c>
      <c r="B6" s="70">
        <v>17931130</v>
      </c>
      <c r="C6" s="254">
        <f t="shared" si="1"/>
        <v>19724243</v>
      </c>
      <c r="D6" s="254">
        <f t="shared" si="1"/>
        <v>21696667.300000001</v>
      </c>
      <c r="E6" s="72">
        <f t="shared" si="2"/>
        <v>22781500.665000003</v>
      </c>
    </row>
    <row r="7" spans="1:5">
      <c r="A7" s="70" t="s">
        <v>87</v>
      </c>
      <c r="B7" s="252">
        <v>83500051</v>
      </c>
      <c r="C7" s="254">
        <f t="shared" si="1"/>
        <v>91850056.100000009</v>
      </c>
      <c r="D7" s="254">
        <f t="shared" si="1"/>
        <v>101035061.71000002</v>
      </c>
      <c r="E7" s="72">
        <f t="shared" si="2"/>
        <v>106086814.79550003</v>
      </c>
    </row>
    <row r="8" spans="1:5">
      <c r="A8" s="70" t="s">
        <v>336</v>
      </c>
      <c r="B8" s="70">
        <f>'5. melléklet'!B27</f>
        <v>58298779</v>
      </c>
      <c r="C8" s="254">
        <f t="shared" si="1"/>
        <v>64128656.900000006</v>
      </c>
      <c r="D8" s="254">
        <f t="shared" si="1"/>
        <v>70541522.590000018</v>
      </c>
      <c r="E8" s="72">
        <f t="shared" si="2"/>
        <v>74068598.71950002</v>
      </c>
    </row>
    <row r="9" spans="1:5" s="2" customFormat="1">
      <c r="A9" s="72" t="s">
        <v>136</v>
      </c>
      <c r="B9" s="72">
        <v>1196445</v>
      </c>
      <c r="C9" s="254">
        <f t="shared" si="1"/>
        <v>1316089.5</v>
      </c>
      <c r="D9" s="254">
        <f t="shared" si="1"/>
        <v>1447698.4500000002</v>
      </c>
      <c r="E9" s="72">
        <f t="shared" si="2"/>
        <v>1520083.3725000003</v>
      </c>
    </row>
    <row r="10" spans="1:5" s="89" customFormat="1">
      <c r="A10" s="249" t="s">
        <v>102</v>
      </c>
      <c r="B10" s="253">
        <f>B4+B5+B6+B7+B8+B9</f>
        <v>239020451</v>
      </c>
      <c r="C10" s="288">
        <f t="shared" si="1"/>
        <v>262922496.10000002</v>
      </c>
      <c r="D10" s="288">
        <f t="shared" si="1"/>
        <v>289214745.71000004</v>
      </c>
      <c r="E10" s="255">
        <f t="shared" si="2"/>
        <v>303675482.99550003</v>
      </c>
    </row>
    <row r="11" spans="1:5">
      <c r="A11" s="72" t="s">
        <v>263</v>
      </c>
      <c r="B11" s="72"/>
      <c r="C11" s="254"/>
      <c r="D11" s="254"/>
      <c r="E11" s="72"/>
    </row>
    <row r="12" spans="1:5">
      <c r="A12" s="70" t="s">
        <v>53</v>
      </c>
      <c r="B12" s="70">
        <v>87856040</v>
      </c>
      <c r="C12" s="254">
        <f t="shared" si="1"/>
        <v>96641644.000000015</v>
      </c>
      <c r="D12" s="254">
        <f t="shared" si="1"/>
        <v>106305808.40000002</v>
      </c>
      <c r="E12" s="72">
        <f t="shared" si="2"/>
        <v>111621098.82000002</v>
      </c>
    </row>
    <row r="13" spans="1:5">
      <c r="A13" s="70" t="s">
        <v>95</v>
      </c>
      <c r="B13" s="70">
        <v>13316432</v>
      </c>
      <c r="C13" s="254">
        <f t="shared" si="1"/>
        <v>14648075.200000001</v>
      </c>
      <c r="D13" s="254">
        <f t="shared" si="1"/>
        <v>16112882.720000003</v>
      </c>
      <c r="E13" s="72">
        <f t="shared" si="2"/>
        <v>16918526.856000002</v>
      </c>
    </row>
    <row r="14" spans="1:5">
      <c r="A14" s="70" t="s">
        <v>55</v>
      </c>
      <c r="B14" s="70">
        <v>88716456</v>
      </c>
      <c r="C14" s="254">
        <f t="shared" si="1"/>
        <v>97588101.600000009</v>
      </c>
      <c r="D14" s="254">
        <f t="shared" si="1"/>
        <v>107346911.76000002</v>
      </c>
      <c r="E14" s="72">
        <f t="shared" si="2"/>
        <v>112714257.34800002</v>
      </c>
    </row>
    <row r="15" spans="1:5">
      <c r="A15" s="70" t="s">
        <v>56</v>
      </c>
      <c r="B15" s="70">
        <v>9001000</v>
      </c>
      <c r="C15" s="254">
        <f t="shared" si="1"/>
        <v>9901100</v>
      </c>
      <c r="D15" s="254">
        <f t="shared" si="1"/>
        <v>10891210</v>
      </c>
      <c r="E15" s="72">
        <f t="shared" si="2"/>
        <v>11435770.5</v>
      </c>
    </row>
    <row r="16" spans="1:5">
      <c r="A16" s="70" t="s">
        <v>57</v>
      </c>
      <c r="B16" s="70">
        <v>8016000</v>
      </c>
      <c r="C16" s="254">
        <f t="shared" si="1"/>
        <v>8817600</v>
      </c>
      <c r="D16" s="254">
        <f t="shared" si="1"/>
        <v>9699360</v>
      </c>
      <c r="E16" s="72">
        <f t="shared" si="2"/>
        <v>10184328</v>
      </c>
    </row>
    <row r="17" spans="1:5" s="2" customFormat="1">
      <c r="A17" s="72" t="s">
        <v>136</v>
      </c>
      <c r="B17" s="72">
        <v>1196445</v>
      </c>
      <c r="C17" s="254">
        <f t="shared" si="1"/>
        <v>1316089.5</v>
      </c>
      <c r="D17" s="254">
        <f t="shared" si="1"/>
        <v>1447698.4500000002</v>
      </c>
      <c r="E17" s="72">
        <f t="shared" si="2"/>
        <v>1520083.3725000003</v>
      </c>
    </row>
    <row r="18" spans="1:5" s="89" customFormat="1" ht="15.75" thickBot="1">
      <c r="A18" s="250" t="s">
        <v>103</v>
      </c>
      <c r="B18" s="250">
        <f>B12+B13+B14+B15+B16+B17</f>
        <v>208102373</v>
      </c>
      <c r="C18" s="288">
        <f t="shared" si="1"/>
        <v>228912610.30000001</v>
      </c>
      <c r="D18" s="288">
        <f t="shared" si="1"/>
        <v>251803871.33000004</v>
      </c>
      <c r="E18" s="255">
        <f t="shared" si="2"/>
        <v>264394064.89650005</v>
      </c>
    </row>
    <row r="19" spans="1:5" ht="15.75" thickBot="1">
      <c r="A19" s="73" t="s">
        <v>104</v>
      </c>
      <c r="B19" s="74">
        <f>B25-B32</f>
        <v>-24918078</v>
      </c>
      <c r="C19" s="74">
        <v>0</v>
      </c>
      <c r="D19" s="74">
        <f t="shared" ref="D19:E19" si="3">D25-D32</f>
        <v>0</v>
      </c>
      <c r="E19" s="74">
        <f t="shared" si="3"/>
        <v>0</v>
      </c>
    </row>
    <row r="20" spans="1:5">
      <c r="A20" s="72" t="s">
        <v>105</v>
      </c>
      <c r="B20" s="72">
        <f>'Bevételek - mérleg'!C26</f>
        <v>9817213</v>
      </c>
      <c r="C20" s="72">
        <v>0</v>
      </c>
      <c r="D20" s="72"/>
      <c r="E20" s="72"/>
    </row>
    <row r="21" spans="1:5">
      <c r="A21" s="70" t="s">
        <v>44</v>
      </c>
      <c r="B21" s="70">
        <v>0</v>
      </c>
      <c r="C21" s="72">
        <f t="shared" ref="C21:C33" si="4">B21*1.002</f>
        <v>0</v>
      </c>
      <c r="D21" s="70"/>
      <c r="E21" s="70"/>
    </row>
    <row r="22" spans="1:5">
      <c r="A22" s="70" t="s">
        <v>106</v>
      </c>
      <c r="B22" s="70">
        <v>0</v>
      </c>
      <c r="C22" s="72">
        <f t="shared" si="4"/>
        <v>0</v>
      </c>
      <c r="D22" s="70"/>
      <c r="E22" s="70"/>
    </row>
    <row r="23" spans="1:5">
      <c r="A23" s="70" t="s">
        <v>337</v>
      </c>
      <c r="B23" s="70">
        <f>186792849-B8</f>
        <v>128494070</v>
      </c>
      <c r="C23" s="72">
        <v>0</v>
      </c>
      <c r="D23" s="70"/>
      <c r="E23" s="70"/>
    </row>
    <row r="24" spans="1:5">
      <c r="A24" s="70" t="s">
        <v>107</v>
      </c>
      <c r="B24" s="70">
        <v>0</v>
      </c>
      <c r="C24" s="72">
        <f t="shared" si="4"/>
        <v>0</v>
      </c>
      <c r="D24" s="70"/>
      <c r="E24" s="70"/>
    </row>
    <row r="25" spans="1:5" s="89" customFormat="1">
      <c r="A25" s="249" t="s">
        <v>108</v>
      </c>
      <c r="B25" s="249">
        <f>B20+B21+B22+B23+B24</f>
        <v>138311283</v>
      </c>
      <c r="C25" s="72">
        <v>0</v>
      </c>
      <c r="D25" s="249">
        <f t="shared" ref="D25:E25" si="5">SUM(D20:D24)</f>
        <v>0</v>
      </c>
      <c r="E25" s="249">
        <f t="shared" si="5"/>
        <v>0</v>
      </c>
    </row>
    <row r="26" spans="1:5">
      <c r="A26" s="70"/>
      <c r="B26" s="70"/>
      <c r="C26" s="72">
        <f t="shared" si="4"/>
        <v>0</v>
      </c>
      <c r="D26" s="70"/>
      <c r="E26" s="70"/>
    </row>
    <row r="27" spans="1:5">
      <c r="A27" s="70" t="s">
        <v>96</v>
      </c>
      <c r="B27" s="70">
        <v>36024891</v>
      </c>
      <c r="C27" s="72">
        <v>0</v>
      </c>
      <c r="D27" s="70"/>
      <c r="E27" s="70"/>
    </row>
    <row r="28" spans="1:5">
      <c r="A28" s="70" t="s">
        <v>97</v>
      </c>
      <c r="B28" s="70">
        <v>127204470</v>
      </c>
      <c r="C28" s="72">
        <v>0</v>
      </c>
      <c r="D28" s="70"/>
      <c r="E28" s="70"/>
    </row>
    <row r="29" spans="1:5">
      <c r="A29" s="70" t="s">
        <v>58</v>
      </c>
      <c r="B29" s="70">
        <v>0</v>
      </c>
      <c r="C29" s="72">
        <f t="shared" si="4"/>
        <v>0</v>
      </c>
      <c r="D29" s="70"/>
      <c r="E29" s="70"/>
    </row>
    <row r="30" spans="1:5">
      <c r="A30" s="70" t="s">
        <v>109</v>
      </c>
      <c r="B30" s="70">
        <v>0</v>
      </c>
      <c r="C30" s="72">
        <f t="shared" si="4"/>
        <v>0</v>
      </c>
      <c r="D30" s="70"/>
      <c r="E30" s="70"/>
    </row>
    <row r="31" spans="1:5">
      <c r="A31" s="70"/>
      <c r="B31" s="70"/>
      <c r="C31" s="72">
        <f t="shared" si="4"/>
        <v>0</v>
      </c>
      <c r="D31" s="70"/>
      <c r="E31" s="70"/>
    </row>
    <row r="32" spans="1:5" s="89" customFormat="1">
      <c r="A32" s="249" t="s">
        <v>110</v>
      </c>
      <c r="B32" s="249">
        <f xml:space="preserve"> B27+B28</f>
        <v>163229361</v>
      </c>
      <c r="C32" s="72">
        <v>0</v>
      </c>
      <c r="D32" s="249">
        <f t="shared" ref="D32:E32" si="6">SUM(D27:D31)</f>
        <v>0</v>
      </c>
      <c r="E32" s="249">
        <f t="shared" si="6"/>
        <v>0</v>
      </c>
    </row>
    <row r="33" spans="1:5" ht="15.75" thickBot="1">
      <c r="A33" s="71"/>
      <c r="B33" s="71"/>
      <c r="C33" s="257">
        <f t="shared" si="4"/>
        <v>0</v>
      </c>
      <c r="D33" s="71"/>
      <c r="E33" s="71"/>
    </row>
    <row r="34" spans="1:5" ht="15.75" thickBot="1">
      <c r="A34" s="73" t="s">
        <v>63</v>
      </c>
      <c r="B34" s="112">
        <f>'5. melléklet'!D30</f>
        <v>6000000</v>
      </c>
      <c r="C34" s="258">
        <v>0</v>
      </c>
      <c r="D34" s="256"/>
      <c r="E34" s="74"/>
    </row>
    <row r="35" spans="1:5">
      <c r="A35" s="75" t="s">
        <v>111</v>
      </c>
      <c r="B35" s="286">
        <f>SUM(B10,B25)</f>
        <v>377331734</v>
      </c>
      <c r="C35" s="259">
        <f t="shared" ref="C35:E35" si="7">SUM(C10,C25)</f>
        <v>262922496.10000002</v>
      </c>
      <c r="D35" s="75">
        <f t="shared" si="7"/>
        <v>289214745.71000004</v>
      </c>
      <c r="E35" s="75">
        <f t="shared" si="7"/>
        <v>303675482.99550003</v>
      </c>
    </row>
    <row r="36" spans="1:5">
      <c r="A36" s="76" t="s">
        <v>112</v>
      </c>
      <c r="B36" s="113">
        <f>SUM(B18,B32,B34)</f>
        <v>377331734</v>
      </c>
      <c r="C36" s="113">
        <f t="shared" ref="C36:E36" si="8">SUM(C18,C32,C34)</f>
        <v>228912610.30000001</v>
      </c>
      <c r="D36" s="113">
        <f t="shared" si="8"/>
        <v>251803871.33000004</v>
      </c>
      <c r="E36" s="113">
        <f t="shared" si="8"/>
        <v>264394064.89650005</v>
      </c>
    </row>
  </sheetData>
  <mergeCells count="1">
    <mergeCell ref="A1:E1"/>
  </mergeCells>
  <pageMargins left="0.7" right="0.7" top="0.75" bottom="0.75" header="0.3" footer="0.3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9"/>
  <sheetViews>
    <sheetView topLeftCell="A4" workbookViewId="0">
      <selection activeCell="L18" sqref="L18"/>
    </sheetView>
  </sheetViews>
  <sheetFormatPr defaultRowHeight="15"/>
  <cols>
    <col min="1" max="1" width="2.85546875" style="230" customWidth="1"/>
    <col min="2" max="2" width="4.28515625" style="229" customWidth="1"/>
    <col min="3" max="3" width="11.42578125" style="230" customWidth="1"/>
    <col min="4" max="4" width="14.7109375" style="230" customWidth="1"/>
    <col min="5" max="5" width="18.28515625" style="230" customWidth="1"/>
    <col min="6" max="6" width="5.42578125" style="230" customWidth="1"/>
    <col min="7" max="7" width="4" style="230" customWidth="1"/>
    <col min="8" max="8" width="10.5703125" style="230" customWidth="1"/>
    <col min="9" max="9" width="9.140625" style="230"/>
    <col min="10" max="10" width="15" style="230" customWidth="1"/>
    <col min="11" max="16384" width="9.140625" style="230"/>
  </cols>
  <sheetData>
    <row r="1" spans="1:10">
      <c r="A1" s="3" t="s">
        <v>366</v>
      </c>
      <c r="I1" s="299" t="s">
        <v>146</v>
      </c>
      <c r="J1" s="299"/>
    </row>
    <row r="2" spans="1:10">
      <c r="A2" s="3"/>
      <c r="I2" s="211"/>
      <c r="J2" s="211"/>
    </row>
    <row r="3" spans="1:10">
      <c r="A3" s="3"/>
      <c r="I3" s="211"/>
      <c r="J3" s="211"/>
    </row>
    <row r="5" spans="1:10" ht="30" customHeight="1">
      <c r="C5" s="300" t="s">
        <v>338</v>
      </c>
      <c r="D5" s="300"/>
      <c r="E5" s="300"/>
      <c r="F5" s="300"/>
      <c r="G5" s="300"/>
      <c r="H5" s="300"/>
      <c r="I5" s="300"/>
    </row>
    <row r="6" spans="1:10">
      <c r="C6" s="229"/>
      <c r="D6" s="229"/>
      <c r="E6" s="229"/>
      <c r="F6" s="229"/>
      <c r="G6" s="229"/>
      <c r="H6" s="229"/>
      <c r="I6" s="229"/>
    </row>
    <row r="7" spans="1:10">
      <c r="C7" s="229"/>
      <c r="D7" s="229"/>
      <c r="E7" s="229"/>
      <c r="F7" s="229"/>
      <c r="G7" s="229"/>
      <c r="H7" s="229"/>
      <c r="I7" s="229"/>
    </row>
    <row r="8" spans="1:10" ht="15.75" thickBot="1">
      <c r="C8" s="301"/>
      <c r="D8" s="301"/>
      <c r="E8" s="301"/>
      <c r="F8" s="229"/>
      <c r="G8" s="301"/>
      <c r="H8" s="301"/>
      <c r="I8" s="301"/>
    </row>
    <row r="9" spans="1:10">
      <c r="B9" s="307">
        <v>1</v>
      </c>
      <c r="C9" s="309" t="s">
        <v>84</v>
      </c>
      <c r="D9" s="309"/>
      <c r="E9" s="311" t="s">
        <v>319</v>
      </c>
      <c r="F9" s="231"/>
      <c r="G9" s="313">
        <v>1</v>
      </c>
      <c r="H9" s="309" t="s">
        <v>320</v>
      </c>
      <c r="I9" s="309"/>
      <c r="J9" s="315"/>
    </row>
    <row r="10" spans="1:10" ht="15.75" thickBot="1">
      <c r="B10" s="308"/>
      <c r="C10" s="310"/>
      <c r="D10" s="310"/>
      <c r="E10" s="312"/>
      <c r="F10" s="231"/>
      <c r="G10" s="314"/>
      <c r="H10" s="316"/>
      <c r="I10" s="316"/>
      <c r="J10" s="317"/>
    </row>
    <row r="11" spans="1:10" ht="15" customHeight="1">
      <c r="B11" s="232">
        <f>SUM(B9+1)</f>
        <v>2</v>
      </c>
      <c r="C11" s="302" t="s">
        <v>159</v>
      </c>
      <c r="D11" s="302"/>
      <c r="E11" s="233">
        <f>978261+12557371</f>
        <v>13535632</v>
      </c>
      <c r="F11" s="234"/>
      <c r="G11" s="235">
        <v>2</v>
      </c>
      <c r="H11" s="236" t="s">
        <v>321</v>
      </c>
      <c r="I11" s="303">
        <v>19059175</v>
      </c>
      <c r="J11" s="304"/>
    </row>
    <row r="12" spans="1:10" ht="15.75" thickBot="1">
      <c r="B12" s="235">
        <f t="shared" ref="B12:B32" si="0">SUM(B10+1)</f>
        <v>1</v>
      </c>
      <c r="C12" s="297" t="s">
        <v>322</v>
      </c>
      <c r="D12" s="298"/>
      <c r="E12" s="237">
        <f>215664+161832+186000</f>
        <v>563496</v>
      </c>
      <c r="F12" s="234"/>
      <c r="G12" s="238">
        <v>3</v>
      </c>
      <c r="H12" s="239" t="s">
        <v>204</v>
      </c>
      <c r="I12" s="305">
        <f>SUM(I11:J11)</f>
        <v>19059175</v>
      </c>
      <c r="J12" s="306"/>
    </row>
    <row r="13" spans="1:10">
      <c r="B13" s="235">
        <f t="shared" si="0"/>
        <v>3</v>
      </c>
      <c r="C13" s="297" t="s">
        <v>318</v>
      </c>
      <c r="D13" s="298"/>
      <c r="E13" s="237"/>
      <c r="F13" s="234"/>
    </row>
    <row r="14" spans="1:10">
      <c r="B14" s="235">
        <f t="shared" si="0"/>
        <v>2</v>
      </c>
      <c r="C14" s="297" t="s">
        <v>163</v>
      </c>
      <c r="D14" s="298"/>
      <c r="E14" s="237">
        <v>611448</v>
      </c>
      <c r="F14" s="234"/>
    </row>
    <row r="15" spans="1:10">
      <c r="B15" s="235">
        <f t="shared" si="0"/>
        <v>4</v>
      </c>
      <c r="C15" s="291" t="s">
        <v>323</v>
      </c>
      <c r="D15" s="292"/>
      <c r="E15" s="237">
        <v>139429</v>
      </c>
      <c r="F15" s="234"/>
    </row>
    <row r="16" spans="1:10">
      <c r="B16" s="235">
        <f t="shared" si="0"/>
        <v>3</v>
      </c>
      <c r="C16" s="291" t="s">
        <v>324</v>
      </c>
      <c r="D16" s="292"/>
      <c r="E16" s="237">
        <v>178656</v>
      </c>
      <c r="F16" s="234"/>
    </row>
    <row r="17" spans="2:10">
      <c r="B17" s="235">
        <f t="shared" si="0"/>
        <v>5</v>
      </c>
      <c r="C17" s="291" t="s">
        <v>325</v>
      </c>
      <c r="D17" s="292"/>
      <c r="E17" s="237">
        <v>2749330</v>
      </c>
      <c r="F17" s="234"/>
      <c r="J17" s="240">
        <f>I11-E32</f>
        <v>0</v>
      </c>
    </row>
    <row r="18" spans="2:10">
      <c r="B18" s="235">
        <f t="shared" si="0"/>
        <v>4</v>
      </c>
      <c r="C18" s="296" t="s">
        <v>165</v>
      </c>
      <c r="D18" s="296"/>
      <c r="E18" s="241">
        <f>SUM(E11:E17)</f>
        <v>17777991</v>
      </c>
      <c r="F18" s="242"/>
    </row>
    <row r="19" spans="2:10">
      <c r="B19" s="235">
        <f t="shared" si="0"/>
        <v>6</v>
      </c>
      <c r="C19" s="291" t="s">
        <v>326</v>
      </c>
      <c r="D19" s="292"/>
      <c r="E19" s="237">
        <v>300000</v>
      </c>
      <c r="F19" s="234"/>
    </row>
    <row r="20" spans="2:10">
      <c r="B20" s="235">
        <f t="shared" si="0"/>
        <v>5</v>
      </c>
      <c r="C20" s="291" t="s">
        <v>327</v>
      </c>
      <c r="D20" s="292"/>
      <c r="E20" s="237">
        <v>200000</v>
      </c>
      <c r="F20" s="234"/>
    </row>
    <row r="21" spans="2:10">
      <c r="B21" s="235">
        <f t="shared" si="0"/>
        <v>7</v>
      </c>
      <c r="C21" s="291" t="s">
        <v>328</v>
      </c>
      <c r="D21" s="292"/>
      <c r="E21" s="237">
        <v>231184</v>
      </c>
      <c r="F21" s="234"/>
    </row>
    <row r="22" spans="2:10">
      <c r="B22" s="235">
        <f t="shared" si="0"/>
        <v>6</v>
      </c>
      <c r="C22" s="291" t="s">
        <v>329</v>
      </c>
      <c r="D22" s="292"/>
      <c r="E22" s="237"/>
      <c r="F22" s="234"/>
    </row>
    <row r="23" spans="2:10">
      <c r="B23" s="235">
        <f t="shared" si="0"/>
        <v>8</v>
      </c>
      <c r="C23" s="291" t="s">
        <v>330</v>
      </c>
      <c r="D23" s="292"/>
      <c r="E23" s="237">
        <v>50000</v>
      </c>
      <c r="F23" s="234"/>
    </row>
    <row r="24" spans="2:10">
      <c r="B24" s="235">
        <f t="shared" si="0"/>
        <v>7</v>
      </c>
      <c r="C24" s="293" t="s">
        <v>331</v>
      </c>
      <c r="D24" s="293"/>
      <c r="E24" s="237"/>
      <c r="F24" s="234"/>
    </row>
    <row r="25" spans="2:10">
      <c r="B25" s="235">
        <f t="shared" si="0"/>
        <v>9</v>
      </c>
      <c r="C25" s="291" t="s">
        <v>332</v>
      </c>
      <c r="D25" s="292"/>
      <c r="E25" s="237"/>
      <c r="F25" s="234"/>
    </row>
    <row r="26" spans="2:10">
      <c r="B26" s="235">
        <f t="shared" si="0"/>
        <v>8</v>
      </c>
      <c r="C26" s="291" t="s">
        <v>267</v>
      </c>
      <c r="D26" s="292"/>
      <c r="E26" s="237">
        <v>500000</v>
      </c>
      <c r="F26" s="234"/>
    </row>
    <row r="27" spans="2:10">
      <c r="B27" s="235">
        <f t="shared" si="0"/>
        <v>10</v>
      </c>
      <c r="C27" s="291" t="s">
        <v>333</v>
      </c>
      <c r="D27" s="292"/>
      <c r="E27" s="237"/>
      <c r="F27" s="234"/>
    </row>
    <row r="28" spans="2:10">
      <c r="B28" s="235">
        <f t="shared" si="0"/>
        <v>9</v>
      </c>
      <c r="C28" s="293" t="s">
        <v>334</v>
      </c>
      <c r="D28" s="293"/>
      <c r="E28" s="237"/>
      <c r="F28" s="234"/>
    </row>
    <row r="29" spans="2:10">
      <c r="B29" s="235">
        <f t="shared" si="0"/>
        <v>11</v>
      </c>
      <c r="C29" s="293" t="s">
        <v>189</v>
      </c>
      <c r="D29" s="293"/>
      <c r="E29" s="237"/>
      <c r="F29" s="234"/>
    </row>
    <row r="30" spans="2:10">
      <c r="B30" s="235">
        <f t="shared" si="0"/>
        <v>10</v>
      </c>
      <c r="C30" s="293" t="s">
        <v>335</v>
      </c>
      <c r="D30" s="293"/>
      <c r="E30" s="237"/>
      <c r="F30" s="234"/>
    </row>
    <row r="31" spans="2:10">
      <c r="B31" s="235">
        <f t="shared" si="0"/>
        <v>12</v>
      </c>
      <c r="C31" s="294" t="s">
        <v>204</v>
      </c>
      <c r="D31" s="294"/>
      <c r="E31" s="241">
        <f>SUM(E19:E30)</f>
        <v>1281184</v>
      </c>
      <c r="F31" s="242"/>
    </row>
    <row r="32" spans="2:10" ht="15.75" thickBot="1">
      <c r="B32" s="238">
        <f t="shared" si="0"/>
        <v>11</v>
      </c>
      <c r="C32" s="295" t="s">
        <v>209</v>
      </c>
      <c r="D32" s="295"/>
      <c r="E32" s="243">
        <f>SUM(E31,E18)</f>
        <v>19059175</v>
      </c>
      <c r="F32" s="242"/>
    </row>
    <row r="33" spans="5:10">
      <c r="E33" s="244"/>
      <c r="F33" s="245"/>
    </row>
    <row r="34" spans="5:10">
      <c r="E34" s="246"/>
      <c r="F34" s="246"/>
      <c r="H34" s="247"/>
      <c r="I34" s="247"/>
      <c r="J34" s="247"/>
    </row>
    <row r="35" spans="5:10">
      <c r="G35" s="247"/>
      <c r="H35" s="289"/>
      <c r="I35" s="290"/>
      <c r="J35" s="290"/>
    </row>
    <row r="36" spans="5:10">
      <c r="G36" s="247"/>
    </row>
    <row r="38" spans="5:10">
      <c r="H38" s="246"/>
    </row>
    <row r="39" spans="5:10">
      <c r="G39" s="246"/>
    </row>
  </sheetData>
  <mergeCells count="34">
    <mergeCell ref="B9:B10"/>
    <mergeCell ref="C9:D10"/>
    <mergeCell ref="E9:E10"/>
    <mergeCell ref="G9:G10"/>
    <mergeCell ref="H9:J10"/>
    <mergeCell ref="C14:D14"/>
    <mergeCell ref="I1:J1"/>
    <mergeCell ref="C5:I5"/>
    <mergeCell ref="C8:E8"/>
    <mergeCell ref="G8:I8"/>
    <mergeCell ref="C11:D11"/>
    <mergeCell ref="I11:J11"/>
    <mergeCell ref="C12:D12"/>
    <mergeCell ref="I12:J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H35:J35"/>
    <mergeCell ref="C27:D27"/>
    <mergeCell ref="C28:D28"/>
    <mergeCell ref="C29:D29"/>
    <mergeCell ref="C30:D30"/>
    <mergeCell ref="C31:D31"/>
    <mergeCell ref="C32:D32"/>
  </mergeCells>
  <pageMargins left="0.51181102362204722" right="0.51181102362204722" top="0.74803149606299213" bottom="0.74803149606299213" header="0.31496062992125984" footer="0.31496062992125984"/>
  <pageSetup paperSize="9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1"/>
  <sheetViews>
    <sheetView view="pageBreakPreview" zoomScale="60" workbookViewId="0">
      <selection activeCell="J55" sqref="J55"/>
    </sheetView>
  </sheetViews>
  <sheetFormatPr defaultRowHeight="15"/>
  <cols>
    <col min="1" max="1" width="14" customWidth="1"/>
    <col min="2" max="2" width="18.7109375" style="2" customWidth="1"/>
    <col min="3" max="3" width="18.42578125" customWidth="1"/>
    <col min="4" max="4" width="15" customWidth="1"/>
    <col min="5" max="5" width="22.42578125" customWidth="1"/>
    <col min="6" max="6" width="26.5703125" customWidth="1"/>
    <col min="7" max="7" width="46.5703125" customWidth="1"/>
    <col min="8" max="8" width="16.85546875" customWidth="1"/>
  </cols>
  <sheetData>
    <row r="1" spans="1:8">
      <c r="A1" s="332" t="s">
        <v>368</v>
      </c>
      <c r="B1" s="332"/>
      <c r="C1" s="332"/>
      <c r="D1" s="332"/>
      <c r="E1" s="332"/>
      <c r="F1" s="332"/>
      <c r="G1" s="332"/>
      <c r="H1" s="332"/>
    </row>
    <row r="2" spans="1:8">
      <c r="A2" s="332" t="s">
        <v>114</v>
      </c>
      <c r="B2" s="332"/>
      <c r="C2" s="332" t="s">
        <v>115</v>
      </c>
      <c r="D2" s="332"/>
      <c r="E2" s="34" t="s">
        <v>116</v>
      </c>
      <c r="F2" s="34" t="s">
        <v>117</v>
      </c>
      <c r="G2" s="34" t="s">
        <v>118</v>
      </c>
      <c r="H2" s="34" t="s">
        <v>119</v>
      </c>
    </row>
    <row r="3" spans="1:8" s="2" customFormat="1">
      <c r="A3" s="77"/>
      <c r="B3" s="77"/>
      <c r="C3" s="77" t="s">
        <v>125</v>
      </c>
      <c r="D3" s="77" t="s">
        <v>126</v>
      </c>
      <c r="E3" s="34"/>
      <c r="F3" s="34"/>
      <c r="G3" s="34"/>
      <c r="H3" s="34"/>
    </row>
    <row r="4" spans="1:8">
      <c r="A4" s="34" t="s">
        <v>120</v>
      </c>
      <c r="B4" s="34"/>
      <c r="C4" s="34">
        <f>SUM(C5:C11)</f>
        <v>11</v>
      </c>
      <c r="D4" s="34">
        <f>SUM(D5:D11)</f>
        <v>1</v>
      </c>
      <c r="E4" s="34">
        <f>SUM(E5:E11)</f>
        <v>1</v>
      </c>
      <c r="F4" s="35">
        <v>45</v>
      </c>
      <c r="G4" s="35">
        <v>0</v>
      </c>
      <c r="H4" s="35">
        <f>SUM(C4:G4)</f>
        <v>58</v>
      </c>
    </row>
    <row r="5" spans="1:8">
      <c r="A5" s="79" t="s">
        <v>129</v>
      </c>
      <c r="B5" s="78" t="s">
        <v>121</v>
      </c>
      <c r="C5" s="78">
        <v>0</v>
      </c>
      <c r="D5" s="78"/>
      <c r="E5" s="78"/>
      <c r="F5" s="78"/>
      <c r="G5" s="78"/>
      <c r="H5" s="78"/>
    </row>
    <row r="6" spans="1:8">
      <c r="A6" s="78"/>
      <c r="B6" s="78" t="s">
        <v>340</v>
      </c>
      <c r="C6" s="78">
        <v>4</v>
      </c>
      <c r="D6" s="78"/>
      <c r="E6" s="78"/>
      <c r="F6" s="78"/>
      <c r="G6" s="78"/>
      <c r="H6" s="78"/>
    </row>
    <row r="7" spans="1:8">
      <c r="A7" s="78"/>
      <c r="B7" s="78" t="s">
        <v>122</v>
      </c>
      <c r="C7" s="78">
        <v>4</v>
      </c>
      <c r="D7" s="78"/>
      <c r="E7" s="78">
        <v>1</v>
      </c>
      <c r="F7" s="78"/>
      <c r="G7" s="78"/>
      <c r="H7" s="78"/>
    </row>
    <row r="8" spans="1:8">
      <c r="A8" s="78"/>
      <c r="B8" s="78" t="s">
        <v>123</v>
      </c>
      <c r="C8" s="78">
        <v>1</v>
      </c>
      <c r="D8" s="78"/>
      <c r="E8" s="78"/>
      <c r="F8" s="78"/>
      <c r="G8" s="78"/>
      <c r="H8" s="78"/>
    </row>
    <row r="9" spans="1:8">
      <c r="A9" s="78"/>
      <c r="B9" s="78" t="s">
        <v>124</v>
      </c>
      <c r="C9" s="78">
        <v>0</v>
      </c>
      <c r="D9" s="78">
        <v>1</v>
      </c>
      <c r="E9" s="78"/>
      <c r="F9" s="78"/>
      <c r="G9" s="78"/>
      <c r="H9" s="78"/>
    </row>
    <row r="10" spans="1:8">
      <c r="A10" s="78"/>
      <c r="B10" s="78" t="s">
        <v>127</v>
      </c>
      <c r="C10" s="78">
        <v>1</v>
      </c>
      <c r="D10" s="78"/>
      <c r="E10" s="78"/>
      <c r="F10" s="78"/>
      <c r="G10" s="78"/>
      <c r="H10" s="78"/>
    </row>
    <row r="11" spans="1:8">
      <c r="A11" s="78"/>
      <c r="B11" s="78" t="s">
        <v>128</v>
      </c>
      <c r="C11" s="78">
        <v>1</v>
      </c>
      <c r="D11" s="78"/>
      <c r="E11" s="78"/>
      <c r="F11" s="78"/>
      <c r="G11" s="78"/>
      <c r="H11" s="78"/>
    </row>
  </sheetData>
  <mergeCells count="3">
    <mergeCell ref="A1:H1"/>
    <mergeCell ref="C2:D2"/>
    <mergeCell ref="A2:B2"/>
  </mergeCells>
  <pageMargins left="0.7" right="0.7" top="0.75" bottom="0.75" header="0.3" footer="0.3"/>
  <pageSetup paperSize="9"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topLeftCell="A13" workbookViewId="0">
      <selection activeCell="C20" sqref="C20"/>
    </sheetView>
  </sheetViews>
  <sheetFormatPr defaultRowHeight="15"/>
  <cols>
    <col min="1" max="1" width="9.28515625" customWidth="1"/>
    <col min="2" max="2" width="91.28515625" customWidth="1"/>
    <col min="3" max="3" width="29.140625" customWidth="1"/>
    <col min="4" max="4" width="15.42578125" customWidth="1"/>
    <col min="5" max="5" width="12.28515625" bestFit="1" customWidth="1"/>
    <col min="7" max="7" width="11.140625" bestFit="1" customWidth="1"/>
  </cols>
  <sheetData>
    <row r="1" spans="1:4" ht="15.75" thickBot="1">
      <c r="A1" s="318" t="s">
        <v>344</v>
      </c>
      <c r="B1" s="319"/>
      <c r="C1" s="320"/>
    </row>
    <row r="2" spans="1:4" s="89" customFormat="1">
      <c r="A2" s="331" t="s">
        <v>28</v>
      </c>
      <c r="B2" s="331"/>
      <c r="C2" s="269" t="s">
        <v>351</v>
      </c>
    </row>
    <row r="3" spans="1:4" ht="15.75" thickBot="1">
      <c r="A3" s="41" t="s">
        <v>26</v>
      </c>
      <c r="B3" s="42"/>
      <c r="C3" s="42"/>
    </row>
    <row r="4" spans="1:4" ht="15.75" thickBot="1">
      <c r="A4" s="318" t="s">
        <v>27</v>
      </c>
      <c r="B4" s="320"/>
      <c r="C4" s="82">
        <f>SUM(C5,C15)</f>
        <v>78094046</v>
      </c>
    </row>
    <row r="5" spans="1:4" s="2" customFormat="1">
      <c r="A5" s="331" t="s">
        <v>133</v>
      </c>
      <c r="B5" s="331"/>
      <c r="C5" s="80">
        <f>C7+C8+C9+C10+C11+C12+C14</f>
        <v>42691000</v>
      </c>
    </row>
    <row r="6" spans="1:4">
      <c r="A6" s="35"/>
      <c r="B6" s="34" t="s">
        <v>29</v>
      </c>
      <c r="C6" s="34">
        <f>SUM(C7:C9)</f>
        <v>35006000</v>
      </c>
    </row>
    <row r="7" spans="1:4">
      <c r="A7" s="35"/>
      <c r="B7" s="34" t="s">
        <v>30</v>
      </c>
      <c r="C7" s="35">
        <v>5000000</v>
      </c>
    </row>
    <row r="8" spans="1:4">
      <c r="A8" s="35"/>
      <c r="B8" s="34" t="s">
        <v>31</v>
      </c>
      <c r="C8" s="35">
        <v>30000000</v>
      </c>
    </row>
    <row r="9" spans="1:4">
      <c r="A9" s="35"/>
      <c r="B9" s="34" t="s">
        <v>32</v>
      </c>
      <c r="C9" s="35">
        <v>6000</v>
      </c>
    </row>
    <row r="10" spans="1:4">
      <c r="A10" s="35"/>
      <c r="B10" s="34" t="s">
        <v>33</v>
      </c>
      <c r="C10" s="34">
        <v>880000</v>
      </c>
    </row>
    <row r="11" spans="1:4">
      <c r="A11" s="35"/>
      <c r="B11" s="34" t="s">
        <v>34</v>
      </c>
      <c r="C11" s="34">
        <v>3625000</v>
      </c>
      <c r="D11" s="2"/>
    </row>
    <row r="12" spans="1:4">
      <c r="A12" s="35"/>
      <c r="B12" s="34" t="s">
        <v>35</v>
      </c>
      <c r="C12" s="34">
        <v>3000000</v>
      </c>
    </row>
    <row r="13" spans="1:4">
      <c r="A13" s="35"/>
      <c r="B13" s="36"/>
      <c r="C13" s="34"/>
    </row>
    <row r="14" spans="1:4">
      <c r="A14" s="35"/>
      <c r="B14" s="34" t="s">
        <v>36</v>
      </c>
      <c r="C14" s="34">
        <v>180000</v>
      </c>
    </row>
    <row r="15" spans="1:4">
      <c r="A15" s="332" t="s">
        <v>134</v>
      </c>
      <c r="B15" s="332"/>
      <c r="C15" s="37">
        <f>SUM(C18,C17,C16,C19)</f>
        <v>35403046</v>
      </c>
    </row>
    <row r="16" spans="1:4">
      <c r="A16" s="35"/>
      <c r="B16" s="38" t="s">
        <v>37</v>
      </c>
      <c r="C16" s="39">
        <f>'1.melléklet'!D10+'1.melléklet'!D15</f>
        <v>17468496</v>
      </c>
    </row>
    <row r="17" spans="1:8">
      <c r="A17" s="35"/>
      <c r="B17" s="35" t="s">
        <v>38</v>
      </c>
      <c r="C17" s="39">
        <f>'1.melléklet'!D19</f>
        <v>9001000</v>
      </c>
    </row>
    <row r="18" spans="1:8">
      <c r="A18" s="35"/>
      <c r="B18" s="35" t="s">
        <v>39</v>
      </c>
      <c r="C18" s="39">
        <f>'1.melléklet'!D26</f>
        <v>1800000</v>
      </c>
    </row>
    <row r="19" spans="1:8" s="2" customFormat="1" ht="15.75" thickBot="1">
      <c r="A19" s="42"/>
      <c r="B19" s="42" t="s">
        <v>132</v>
      </c>
      <c r="C19" s="114">
        <f>'1.melléklet'!D16+'1.melléklet'!D17+'1.melléklet'!D18+6000000</f>
        <v>7133550</v>
      </c>
    </row>
    <row r="20" spans="1:8" ht="15.75" thickBot="1">
      <c r="A20" s="318" t="s">
        <v>137</v>
      </c>
      <c r="B20" s="319"/>
      <c r="C20" s="285">
        <f>SUM(C22:C30)</f>
        <v>111248394</v>
      </c>
      <c r="D20" s="49"/>
      <c r="E20" s="49"/>
      <c r="F20" s="49"/>
      <c r="G20" s="49"/>
      <c r="H20" s="49"/>
    </row>
    <row r="21" spans="1:8">
      <c r="A21" s="43"/>
      <c r="B21" s="44" t="s">
        <v>138</v>
      </c>
      <c r="C21" s="284">
        <f>C22+C23</f>
        <v>66507251</v>
      </c>
      <c r="D21" s="49"/>
      <c r="E21" s="49"/>
      <c r="F21" s="49"/>
      <c r="G21" s="321"/>
      <c r="H21" s="321"/>
    </row>
    <row r="22" spans="1:8" s="2" customFormat="1">
      <c r="A22" s="43"/>
      <c r="B22" s="40" t="s">
        <v>353</v>
      </c>
      <c r="C22" s="279">
        <v>55648386</v>
      </c>
      <c r="D22" s="49"/>
      <c r="E22" s="49"/>
      <c r="F22" s="49"/>
      <c r="G22" s="267"/>
      <c r="H22" s="267"/>
    </row>
    <row r="23" spans="1:8" s="2" customFormat="1">
      <c r="A23" s="43"/>
      <c r="B23" s="40" t="s">
        <v>354</v>
      </c>
      <c r="C23" s="279">
        <f>12289380-1430515</f>
        <v>10858865</v>
      </c>
      <c r="D23" s="49"/>
      <c r="E23" s="49"/>
      <c r="F23" s="49"/>
      <c r="G23" s="267"/>
      <c r="H23" s="267"/>
    </row>
    <row r="24" spans="1:8" s="2" customFormat="1">
      <c r="A24" s="43"/>
      <c r="B24" s="40" t="s">
        <v>360</v>
      </c>
      <c r="C24" s="279">
        <f>13040000+3952800</f>
        <v>16992800</v>
      </c>
      <c r="D24" s="49"/>
      <c r="E24" s="49"/>
      <c r="F24" s="49"/>
      <c r="G24" s="280"/>
      <c r="H24" s="280"/>
    </row>
    <row r="25" spans="1:8">
      <c r="A25" s="35"/>
      <c r="B25" s="40" t="s">
        <v>139</v>
      </c>
      <c r="C25" s="35"/>
      <c r="D25" s="49"/>
      <c r="E25" s="49"/>
      <c r="F25" s="49"/>
      <c r="G25" s="49"/>
      <c r="H25" s="49"/>
    </row>
    <row r="26" spans="1:8">
      <c r="A26" s="35"/>
      <c r="B26" s="40" t="s">
        <v>353</v>
      </c>
      <c r="C26" s="35">
        <v>9817213</v>
      </c>
      <c r="D26" s="49"/>
      <c r="E26" s="49"/>
      <c r="F26" s="49"/>
      <c r="G26" s="49"/>
      <c r="H26" s="49"/>
    </row>
    <row r="27" spans="1:8">
      <c r="A27" s="35"/>
      <c r="B27" s="40" t="s">
        <v>140</v>
      </c>
      <c r="C27" s="34">
        <f>'2. melléklet'!F24</f>
        <v>17931130</v>
      </c>
      <c r="E27" s="89"/>
    </row>
    <row r="28" spans="1:8">
      <c r="A28" s="35"/>
      <c r="B28" s="40" t="s">
        <v>145</v>
      </c>
      <c r="C28" s="35">
        <v>0</v>
      </c>
    </row>
    <row r="29" spans="1:8">
      <c r="A29" s="35"/>
      <c r="B29" s="40" t="s">
        <v>135</v>
      </c>
      <c r="C29" s="35">
        <v>0</v>
      </c>
      <c r="G29" s="89"/>
    </row>
    <row r="30" spans="1:8">
      <c r="A30" s="35"/>
      <c r="B30" s="40" t="s">
        <v>45</v>
      </c>
      <c r="C30" s="35">
        <v>0</v>
      </c>
    </row>
    <row r="31" spans="1:8">
      <c r="A31" s="332">
        <v>10</v>
      </c>
      <c r="B31" s="332"/>
      <c r="C31" s="84">
        <f>SUM(C4,C20)</f>
        <v>189342440</v>
      </c>
    </row>
    <row r="32" spans="1:8" ht="15.75" thickBot="1">
      <c r="A32" s="336"/>
      <c r="B32" s="336"/>
      <c r="C32" s="48"/>
    </row>
    <row r="33" spans="1:4" ht="15.75" thickBot="1">
      <c r="A33" s="318" t="s">
        <v>46</v>
      </c>
      <c r="B33" s="320"/>
      <c r="C33" s="83">
        <f>SUM(C34:C35)</f>
        <v>187989294</v>
      </c>
    </row>
    <row r="34" spans="1:4">
      <c r="A34" s="43"/>
      <c r="B34" s="43" t="s">
        <v>47</v>
      </c>
      <c r="C34" s="43">
        <v>186792849</v>
      </c>
    </row>
    <row r="35" spans="1:4" s="2" customFormat="1">
      <c r="A35" s="43"/>
      <c r="B35" s="43" t="s">
        <v>136</v>
      </c>
      <c r="C35" s="43">
        <v>1196445</v>
      </c>
    </row>
    <row r="36" spans="1:4">
      <c r="A36" s="332" t="s">
        <v>48</v>
      </c>
      <c r="B36" s="332"/>
      <c r="C36" s="37">
        <f>SUM(C31,C33)</f>
        <v>377331734</v>
      </c>
    </row>
    <row r="37" spans="1:4" ht="15.75" thickBot="1">
      <c r="A37" s="333" t="s">
        <v>49</v>
      </c>
      <c r="B37" s="333"/>
      <c r="C37" s="42">
        <v>0</v>
      </c>
      <c r="D37" s="90"/>
    </row>
    <row r="38" spans="1:4" ht="15.75" thickBot="1">
      <c r="A38" s="334" t="s">
        <v>50</v>
      </c>
      <c r="B38" s="335"/>
      <c r="C38" s="91">
        <f>SUM(C36:C37)</f>
        <v>377331734</v>
      </c>
      <c r="D38" s="90"/>
    </row>
  </sheetData>
  <mergeCells count="13">
    <mergeCell ref="A37:B37"/>
    <mergeCell ref="A38:B38"/>
    <mergeCell ref="A20:B20"/>
    <mergeCell ref="A31:B31"/>
    <mergeCell ref="A32:B32"/>
    <mergeCell ref="A33:B33"/>
    <mergeCell ref="A36:B36"/>
    <mergeCell ref="G21:H21"/>
    <mergeCell ref="A1:C1"/>
    <mergeCell ref="A2:B2"/>
    <mergeCell ref="A4:B4"/>
    <mergeCell ref="A5:B5"/>
    <mergeCell ref="A15:B15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2</vt:i4>
      </vt:variant>
    </vt:vector>
  </HeadingPairs>
  <TitlesOfParts>
    <vt:vector size="13" baseType="lpstr">
      <vt:lpstr>1.melléklet</vt:lpstr>
      <vt:lpstr>2. melléklet</vt:lpstr>
      <vt:lpstr>3. melléklet</vt:lpstr>
      <vt:lpstr>4. melléklet</vt:lpstr>
      <vt:lpstr>5. melléklet</vt:lpstr>
      <vt:lpstr>6. melléklet</vt:lpstr>
      <vt:lpstr>8. melléklet</vt:lpstr>
      <vt:lpstr>7. melléklet</vt:lpstr>
      <vt:lpstr>Bevételek - mérleg</vt:lpstr>
      <vt:lpstr>Kiadások - mérleg</vt:lpstr>
      <vt:lpstr>Tiszteletdíj</vt:lpstr>
      <vt:lpstr>'Bevételek - mérleg'!Nyomtatási_terület</vt:lpstr>
      <vt:lpstr>'Kiadások - mérleg'!Nyomtatási_terület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Pajkó Alexandra</dc:creator>
  <cp:lastModifiedBy>kaszaper-1</cp:lastModifiedBy>
  <cp:lastPrinted>2019-02-08T13:35:51Z</cp:lastPrinted>
  <dcterms:created xsi:type="dcterms:W3CDTF">2017-01-24T14:33:07Z</dcterms:created>
  <dcterms:modified xsi:type="dcterms:W3CDTF">2019-02-11T14:23:14Z</dcterms:modified>
</cp:coreProperties>
</file>